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25" tabRatio="821"/>
  </bookViews>
  <sheets>
    <sheet name="附件1." sheetId="13" r:id="rId1"/>
    <sheet name="附件2" sheetId="14" r:id="rId2"/>
    <sheet name="附件3" sheetId="15" r:id="rId3"/>
  </sheets>
  <externalReferences>
    <externalReference r:id="rId4"/>
  </externalReferences>
  <definedNames>
    <definedName name="_xlnm._FilterDatabase" localSheetId="0" hidden="1">附件1.!$A$4:$AM$259</definedName>
    <definedName name="_xlnm.Print_Titles" localSheetId="0">附件1.!$3:$4</definedName>
    <definedName name="_xlnm.Print_Titles" localSheetId="1">附件2!$3:$3</definedName>
  </definedNames>
  <calcPr calcId="144525"/>
</workbook>
</file>

<file path=xl/sharedStrings.xml><?xml version="1.0" encoding="utf-8"?>
<sst xmlns="http://schemas.openxmlformats.org/spreadsheetml/2006/main" count="1235" uniqueCount="710">
  <si>
    <t>附件1</t>
  </si>
  <si>
    <t>减差</t>
  </si>
  <si>
    <t>2024年城镇公办幼儿园结构优化与质量提升工程项目资金表</t>
  </si>
  <si>
    <t>序号</t>
  </si>
  <si>
    <t>项目所在地</t>
  </si>
  <si>
    <t>拟建设幼儿园名称</t>
  </si>
  <si>
    <t>建设方式</t>
  </si>
  <si>
    <t>建设用地面积</t>
  </si>
  <si>
    <t>立项批复文号</t>
  </si>
  <si>
    <t>建设内容</t>
  </si>
  <si>
    <t>项目建设与投资规模</t>
  </si>
  <si>
    <t>项目建成后幼儿园基本情况</t>
  </si>
  <si>
    <t>申请补助及建设资金筹措计划（万元）</t>
  </si>
  <si>
    <t>补助标准</t>
  </si>
  <si>
    <t>补助系数</t>
  </si>
  <si>
    <t>按计划班数补助面积</t>
  </si>
  <si>
    <t>确认补助面积</t>
  </si>
  <si>
    <t>计划补助金额</t>
  </si>
  <si>
    <t>拟实际补助金额</t>
  </si>
  <si>
    <t>2024年实际补助金额（万元）</t>
  </si>
  <si>
    <t>预计开工时间</t>
  </si>
  <si>
    <t>预计竣工时间</t>
  </si>
  <si>
    <t>备注</t>
  </si>
  <si>
    <t>园所修缮</t>
  </si>
  <si>
    <t>保教设备更新配置</t>
  </si>
  <si>
    <t>改扩建</t>
  </si>
  <si>
    <t>配建</t>
  </si>
  <si>
    <t>新建</t>
  </si>
  <si>
    <t>扶持</t>
  </si>
  <si>
    <t>项目建筑面积（平方米）</t>
  </si>
  <si>
    <t>项目建设投入（万元）</t>
  </si>
  <si>
    <t>设备购置投入（万元）</t>
  </si>
  <si>
    <t>园舍建筑面积（平方米）</t>
  </si>
  <si>
    <t>计划设立幼儿园班数（个）</t>
  </si>
  <si>
    <t>新增学位数（个）</t>
  </si>
  <si>
    <t>改扩建新增班数/修缮惠及幼儿园班数</t>
  </si>
  <si>
    <t>改扩建新增学位数/修缮惠及学位数（个）</t>
  </si>
  <si>
    <t>小计</t>
  </si>
  <si>
    <t>省级及以上安排</t>
  </si>
  <si>
    <t>市级安排</t>
  </si>
  <si>
    <t>县级安排</t>
  </si>
  <si>
    <t>其他</t>
  </si>
  <si>
    <t>全省合计</t>
  </si>
  <si>
    <t>福州市合计</t>
  </si>
  <si>
    <t>（一）</t>
  </si>
  <si>
    <t>市本级</t>
  </si>
  <si>
    <t>鼓楼区水部街道</t>
  </si>
  <si>
    <t>福州市蓓蕾幼儿园阳光分园（暂名）</t>
  </si>
  <si>
    <t>榕发改审批
〔2022〕144号</t>
  </si>
  <si>
    <t>土建工程、给排水工程、电气工程、通风工程、消防工程、室外广场以及附属的大门、围墙、道路、景观绿化等基础设施配套工程</t>
  </si>
  <si>
    <t>（二）</t>
  </si>
  <si>
    <t>鼓楼区</t>
  </si>
  <si>
    <t>冠坤柒号院配套幼儿园（小柳幼儿园）</t>
  </si>
  <si>
    <t>闽发改备〔2019〕A010030号</t>
  </si>
  <si>
    <t>配套幼儿园二次装修以及保教设施设备购置等</t>
  </si>
  <si>
    <t>有土地出让协议</t>
  </si>
  <si>
    <t>保利中悦公馆配套幼儿园</t>
  </si>
  <si>
    <t>闽发改备〔2020〕A010070号</t>
  </si>
  <si>
    <t>有移交协议</t>
  </si>
  <si>
    <t>（三）</t>
  </si>
  <si>
    <t>台江区</t>
  </si>
  <si>
    <t>后洲街道</t>
  </si>
  <si>
    <t>同晖地块配套幼儿园</t>
  </si>
  <si>
    <t>台发改审批〔2023〕9号</t>
  </si>
  <si>
    <t>幼儿园校舍室内、室外改造</t>
  </si>
  <si>
    <t>有台江发改批复</t>
  </si>
  <si>
    <t>（四）</t>
  </si>
  <si>
    <t>仓山区</t>
  </si>
  <si>
    <t>建新镇</t>
  </si>
  <si>
    <t>仓山区花溪幼儿园</t>
  </si>
  <si>
    <t>设备采购</t>
  </si>
  <si>
    <t>玩教具</t>
  </si>
  <si>
    <t>有清单，有教育局盖章</t>
  </si>
  <si>
    <t>临江街道</t>
  </si>
  <si>
    <t>仓山区临江中心幼儿园</t>
  </si>
  <si>
    <t>保教设施设备更新配置</t>
  </si>
  <si>
    <t>凤泽新苑小区配套幼儿园</t>
  </si>
  <si>
    <t>闽发改备〔2017〕A03061号</t>
  </si>
  <si>
    <t>1、主教学楼活动室、功能室等二次装修工程；2、操场、绿化、道路等附属工程；3、幼儿家具、幼儿桌椅、教玩具、厨房设备、电脑、监控等设施设备购置。</t>
  </si>
  <si>
    <t>盖山镇东岭路</t>
  </si>
  <si>
    <t>闽江师范高等专科学校附属第六幼儿园</t>
  </si>
  <si>
    <t>闽发改备〔2017〕A03062号（小区备案号）</t>
  </si>
  <si>
    <t>臻茂公馆小区配套幼儿园主体竣工并移交后，对教学楼、户外场地、附属设施等进行二次装修。</t>
  </si>
  <si>
    <t>（五）</t>
  </si>
  <si>
    <t>晋安区</t>
  </si>
  <si>
    <t>晋安区茶园街道</t>
  </si>
  <si>
    <t>晋安区实验幼儿园园所改造提升（含大名城分部）</t>
  </si>
  <si>
    <t>修缮</t>
  </si>
  <si>
    <t>榕晋发改基（2023）16号</t>
  </si>
  <si>
    <t>对幼儿园教学楼、户外活动场地、附属设施进行修缮改造</t>
  </si>
  <si>
    <t>有修缮任务书</t>
  </si>
  <si>
    <t>福州市新店中心幼儿园（含分部分园）</t>
  </si>
  <si>
    <t>幼儿园整体提升，含活动室、卫生保健室等建设及采购设施设备和教玩具、图书等。</t>
  </si>
  <si>
    <t>（六）</t>
  </si>
  <si>
    <t>长乐区</t>
  </si>
  <si>
    <t>吴航街道</t>
  </si>
  <si>
    <t>吴航迪鑫紫宸府小区配套幼儿园</t>
  </si>
  <si>
    <t>长发改基〔2023〕44号</t>
  </si>
  <si>
    <t>主体楼功能改造提升 和必要的附属设施建设，以及空调、厨房设备、防盗网、智能门禁等设备采购。</t>
  </si>
  <si>
    <t>有可研和财审批复</t>
  </si>
  <si>
    <t>金峰镇</t>
  </si>
  <si>
    <t>金峰阳光丽景公馆小区配套幼儿园</t>
  </si>
  <si>
    <t>长发改基〔2023〕41号</t>
  </si>
  <si>
    <t>主体楼功能改造提升和必要的附属设施建设，以及空调、厨房设备、防盗网、智能门禁等设备采购。</t>
  </si>
  <si>
    <t>松下镇</t>
  </si>
  <si>
    <t>首祉中心幼儿园</t>
  </si>
  <si>
    <t>长发改基〔2020〕277号</t>
  </si>
  <si>
    <t>项目总用地面积6530平方米，总建筑面积5878平方米，包括教学楼、门卫、消防水池、水泵房，配套建设活动场地、围墙、值班室、园区道路及绿化等附属设施。</t>
  </si>
  <si>
    <t>已出施工许可证</t>
  </si>
  <si>
    <t>（七）</t>
  </si>
  <si>
    <t>闽侯县</t>
  </si>
  <si>
    <t>荆溪镇</t>
  </si>
  <si>
    <t>荆溪凤翔幼儿园</t>
  </si>
  <si>
    <t>侯政办项〔2023〕72号</t>
  </si>
  <si>
    <t>教学楼改造及附属设施建设，教玩具设备采购等</t>
  </si>
  <si>
    <t>竹岐乡</t>
  </si>
  <si>
    <t>竹岐金地幼儿园</t>
  </si>
  <si>
    <t>侯政办项〔2023〕7号</t>
  </si>
  <si>
    <t>（八）</t>
  </si>
  <si>
    <t>连江县</t>
  </si>
  <si>
    <t>东湖中心幼儿园</t>
  </si>
  <si>
    <t>教综楼改造</t>
  </si>
  <si>
    <t>有修缮图纸</t>
  </si>
  <si>
    <t>（九）</t>
  </si>
  <si>
    <t>罗源县</t>
  </si>
  <si>
    <t>凤山镇</t>
  </si>
  <si>
    <t>凤山幼儿园</t>
  </si>
  <si>
    <t>罗发改投资〔2023〕51号</t>
  </si>
  <si>
    <t>教学楼、户外场地、附属设施等</t>
  </si>
  <si>
    <t>有修缮方案，有教育局盖章</t>
  </si>
  <si>
    <t>松山镇</t>
  </si>
  <si>
    <t>罗源县第三实验幼儿园</t>
  </si>
  <si>
    <t>教育设备（户外组合器械、玩具等）</t>
  </si>
  <si>
    <t>2024年10月</t>
  </si>
  <si>
    <t>（十）</t>
  </si>
  <si>
    <t>闽清县</t>
  </si>
  <si>
    <t>梅城镇</t>
  </si>
  <si>
    <t>闽清县第一幼儿园</t>
  </si>
  <si>
    <t>活动室、卫生保健室等建设及采购设施设备和教玩具、图书等</t>
  </si>
  <si>
    <t>闽清县城关幼儿园</t>
  </si>
  <si>
    <t>（十一）</t>
  </si>
  <si>
    <t>永泰县</t>
  </si>
  <si>
    <t>城峰镇</t>
  </si>
  <si>
    <t>第二实验幼儿园</t>
  </si>
  <si>
    <t>教玩具设备等</t>
  </si>
  <si>
    <t>大洋镇</t>
  </si>
  <si>
    <t>大洋中心幼儿园</t>
  </si>
  <si>
    <t>（十二）</t>
  </si>
  <si>
    <t>福清市</t>
  </si>
  <si>
    <t>音西街道</t>
  </si>
  <si>
    <t>福清市百合幼儿园分园</t>
  </si>
  <si>
    <t>户外游乐设备、室内教玩具、盥洗室设备采购等。</t>
  </si>
  <si>
    <t>玉屏街道</t>
  </si>
  <si>
    <t>福清市城关幼儿园</t>
  </si>
  <si>
    <t>幼儿室内外大型器械、教玩具、幼儿班级家具、希沃一体机、班级空调、幼儿演播厅等教育教学设施设备采购等。</t>
  </si>
  <si>
    <t>宏路街道</t>
  </si>
  <si>
    <t>福清市大东海悦江新苑配建幼儿园</t>
  </si>
  <si>
    <t>闽发改备〔2022〕A060155号</t>
  </si>
  <si>
    <t>只有立项备案表，无移交协议</t>
  </si>
  <si>
    <t>福清市大东海玉融公馆配建幼儿园</t>
  </si>
  <si>
    <t>闽发改备〔2021〕A060265号</t>
  </si>
  <si>
    <t>阳下街道</t>
  </si>
  <si>
    <t>福清市机关幼儿园第二园区</t>
  </si>
  <si>
    <t>融发改审批〔2023〕541号</t>
  </si>
  <si>
    <t>新建教学综合楼及室外配套设施</t>
  </si>
  <si>
    <t>有初设批复人社
部门</t>
  </si>
  <si>
    <t>高山镇</t>
  </si>
  <si>
    <t>福清市高山中心园分园</t>
  </si>
  <si>
    <t>融发改审批〔2023〕449号</t>
  </si>
  <si>
    <t>有可研初设批复</t>
  </si>
  <si>
    <t>（十三）</t>
  </si>
  <si>
    <t>高新区</t>
  </si>
  <si>
    <t>福州高新区国贸学原配建幼儿园</t>
  </si>
  <si>
    <t>教学设备</t>
  </si>
  <si>
    <t>莆田市合计</t>
  </si>
  <si>
    <t>城厢区</t>
  </si>
  <si>
    <t>龙桥街道</t>
  </si>
  <si>
    <t>城厢区逸夫实验幼儿园</t>
  </si>
  <si>
    <t>改建</t>
  </si>
  <si>
    <t>综合楼装修改造</t>
  </si>
  <si>
    <t>城厢区霞林街道</t>
  </si>
  <si>
    <t>和鸣兰溪（万达南）幼儿园</t>
  </si>
  <si>
    <t>小区配建幼儿园二次装修改造；教玩具、教学仪器设备、办公用品等采购</t>
  </si>
  <si>
    <t>城厢区沟头幼儿园一（安置地块二）</t>
  </si>
  <si>
    <t>涵江区</t>
  </si>
  <si>
    <t>梧塘镇</t>
  </si>
  <si>
    <t>涵江区建发文著小区配套幼儿园</t>
  </si>
  <si>
    <t>保教楼室内装修、户外环境创设、设备购置</t>
  </si>
  <si>
    <t>荔城区</t>
  </si>
  <si>
    <t>拱辰街道</t>
  </si>
  <si>
    <t>莆田市荔城区拱辰中心幼儿园</t>
  </si>
  <si>
    <t>教学楼、附属设施等</t>
  </si>
  <si>
    <t>镇海街道</t>
  </si>
  <si>
    <t>莆田市荔城区新溪幼儿园</t>
  </si>
  <si>
    <t>黄石镇</t>
  </si>
  <si>
    <t>莆田市荔城区黄石中心幼儿园第一分园</t>
  </si>
  <si>
    <t>教学楼、户外场地、附属设施</t>
  </si>
  <si>
    <t>仙游县</t>
  </si>
  <si>
    <t>榜头第三中心幼儿园</t>
  </si>
  <si>
    <t>教玩具、教学一体机、钢琴等</t>
  </si>
  <si>
    <t>新建园</t>
  </si>
  <si>
    <t>承璜第二学校幼儿园</t>
  </si>
  <si>
    <t>教玩具、教学一体机等</t>
  </si>
  <si>
    <t>湄洲岛</t>
  </si>
  <si>
    <t>湄洲岛妈祖幼儿园</t>
  </si>
  <si>
    <t>湄洲岛管委会党政联席会议纪要（〔2022〕5号）</t>
  </si>
  <si>
    <t>按照市级示范园以上标准添加幼儿教育设施设备，提升湄洲岛妈祖幼儿园保教设施设备水平。</t>
  </si>
  <si>
    <t>湄洲岛实验幼儿园第一分园</t>
  </si>
  <si>
    <t>按照市级示范园以上标准添加幼儿教育设施设备，提升湄洲岛实验幼儿园第一分园保教设施设备水平。</t>
  </si>
  <si>
    <t>北岸管委会</t>
  </si>
  <si>
    <t>北岸经开区忠门镇秀田社区</t>
  </si>
  <si>
    <t>忠门镇中心幼儿园教学综合楼</t>
  </si>
  <si>
    <t>莆湄北发改〔2023〕18号</t>
  </si>
  <si>
    <t>教学综合楼</t>
  </si>
  <si>
    <t>旧综合楼（面积3152平方米）存在安全隐患，需拆除重建</t>
  </si>
  <si>
    <t>山亭镇
山亭社区</t>
  </si>
  <si>
    <t>山亭镇中心幼儿园</t>
  </si>
  <si>
    <t>幼儿园户外乐园配套设备108.9万元，多媒体设备9套，27万元，妈祖文化体验馆配套设施设备100万元。</t>
  </si>
  <si>
    <t>山亭镇
利山社区</t>
  </si>
  <si>
    <t>北岸实验小学附设幼儿园</t>
  </si>
  <si>
    <t>电脑15部；多媒体教室设备；户外展示屏；大型户外玩具；室内益智玩具。</t>
  </si>
  <si>
    <t>三明市合计</t>
  </si>
  <si>
    <t>列东街道</t>
  </si>
  <si>
    <t>三明市妇联幼儿园</t>
  </si>
  <si>
    <t>有图纸，无教育局盖章</t>
  </si>
  <si>
    <t>三明市实验幼儿园</t>
  </si>
  <si>
    <t>教学设备、护眼灯、电子班牌等</t>
  </si>
  <si>
    <t>有清单，无教育局盖章</t>
  </si>
  <si>
    <t>三元区</t>
  </si>
  <si>
    <t>城关街道</t>
  </si>
  <si>
    <t>三元区第三实验幼儿园</t>
  </si>
  <si>
    <t>户外多功能组合器械、户外造型小屋</t>
  </si>
  <si>
    <t>徐碧街道</t>
  </si>
  <si>
    <t>三元区贵溪洋第一幼儿园</t>
  </si>
  <si>
    <t>沙、水池大型户外玩具、大型户外爬笼、户外玩具柜等</t>
  </si>
  <si>
    <t>三元区第三实验幼儿园下洋分园</t>
  </si>
  <si>
    <t>元发改﹝2019﹞120号</t>
  </si>
  <si>
    <t>建筑面积4200平方米，开设12个教学班、新增学位360个。</t>
  </si>
  <si>
    <t>已开工</t>
  </si>
  <si>
    <t>明溪县</t>
  </si>
  <si>
    <t>城关乡</t>
  </si>
  <si>
    <t>明溪县实验幼儿园总园王桥分园</t>
  </si>
  <si>
    <t>有方案，有教育局盖章</t>
  </si>
  <si>
    <t>宁化县</t>
  </si>
  <si>
    <t>翠江镇</t>
  </si>
  <si>
    <t>宁化县实验幼儿园</t>
  </si>
  <si>
    <t>有清单，有盖章</t>
  </si>
  <si>
    <t>大田县</t>
  </si>
  <si>
    <t>均溪镇</t>
  </si>
  <si>
    <t>大田县福塘幼儿园</t>
  </si>
  <si>
    <t>教玩具、游戏材料及相关设施设备等。</t>
  </si>
  <si>
    <t>2024年5月</t>
  </si>
  <si>
    <t>2024年12月</t>
  </si>
  <si>
    <t>大田县城北幼儿园</t>
  </si>
  <si>
    <t>尤溪县</t>
  </si>
  <si>
    <t>城关镇</t>
  </si>
  <si>
    <t>埔山幼儿园</t>
  </si>
  <si>
    <t>教学楼、户外场地和附属设施修缮改造及设备购置等。</t>
  </si>
  <si>
    <t>2024年9月</t>
  </si>
  <si>
    <t>文公幼儿园</t>
  </si>
  <si>
    <t>2024年3月</t>
  </si>
  <si>
    <t>2024年8月</t>
  </si>
  <si>
    <t>将乐县</t>
  </si>
  <si>
    <t>古镛镇</t>
  </si>
  <si>
    <t>实验幼儿园</t>
  </si>
  <si>
    <t>户外运动器械、建构教玩具、AI 教具设备、班级区域玩具、图书、教学用具等设施设备。</t>
  </si>
  <si>
    <t>艺术幼儿园</t>
  </si>
  <si>
    <t>幼儿区域游戏和户外体育游戏材料、功能室的各区域材料、校园文化建设、教学用具等设施设备。</t>
  </si>
  <si>
    <t>泰宁县</t>
  </si>
  <si>
    <t>杉城镇</t>
  </si>
  <si>
    <t>泰宁县实验幼儿园</t>
  </si>
  <si>
    <t>一体机、建构室大型构建积木、幼儿教玩具等设施设备</t>
  </si>
  <si>
    <t>泉州市合计</t>
  </si>
  <si>
    <t>开元街道</t>
  </si>
  <si>
    <t>泉州市刺桐幼儿园（崇福园区）</t>
  </si>
  <si>
    <t>教学楼外立墙面窗户修缮、电线管、电缆修整等。幼儿教玩具、户外大型玩具等</t>
  </si>
  <si>
    <t>有清单，但没有盖章，泉州市刺桐幼儿园（崇福园区）建于1985年12月，为泉州市教育局旧址。2021年6月，泉州市刺桐幼儿园对教学楼内部进行改造修缮，教学楼外墙体部分无改造。目前，外墙体存在瓷砖脱落、返灰、渗水、老旧等现象，申请全面修缮改造</t>
  </si>
  <si>
    <t>东海街道</t>
  </si>
  <si>
    <t>泉州市温陵实验幼儿园</t>
  </si>
  <si>
    <t>幼儿玩教具以及户外大型玩具器械等</t>
  </si>
  <si>
    <t>预算数量不足100万，只有49万。</t>
  </si>
  <si>
    <t>鲤城区</t>
  </si>
  <si>
    <t>泉州市鲤城区第二幼儿园</t>
  </si>
  <si>
    <t>厕所、外墙、教室、厨房二楼等修缮</t>
  </si>
  <si>
    <t>鲤中街道</t>
  </si>
  <si>
    <t>泉州市实验幼儿园（承天园区）</t>
  </si>
  <si>
    <t>1.用于加强幼儿寝室、盥洗室建设和配置相关设施设备，2.用于教师办公室建设和配置相关设施设备。</t>
  </si>
  <si>
    <t>丰泽区</t>
  </si>
  <si>
    <t>城东街道</t>
  </si>
  <si>
    <t>丰泽城东实验幼儿园</t>
  </si>
  <si>
    <t>幼儿寝室改造、厨房改造、后操场修缮、教学楼外墙体修缮等</t>
  </si>
  <si>
    <t>华大街道</t>
  </si>
  <si>
    <t>泉州市丰泽区华大实验幼儿园</t>
  </si>
  <si>
    <t>户外大型综合运动器械、玩具，幼儿科学区馆玩具材料，艺术区馆材料玩具，生活教育区馆材料玩具，班级电子化设备电子班牌，电子档案存储器，户外遮阳设备，户外建构玩具，户外运动玩具，运动场围栏及草皮，音体室舞台灯光，户外种植设备，户外饮水设备。</t>
  </si>
  <si>
    <t>有区教育局报告</t>
  </si>
  <si>
    <t>泉州市丰泽区云上实验幼儿园</t>
  </si>
  <si>
    <t>智能化设备、幼儿家具、教玩具等</t>
  </si>
  <si>
    <t>无移交协议，有区教育局报告</t>
  </si>
  <si>
    <t>洛江区</t>
  </si>
  <si>
    <t>罗溪镇</t>
  </si>
  <si>
    <t>泉州市洛江区罗溪奕聪中心幼儿园</t>
  </si>
  <si>
    <t>教学楼修缮及消防设施改造</t>
  </si>
  <si>
    <t>双阳街道</t>
  </si>
  <si>
    <t>泉州市洛江区双阳中心幼儿园春晓园区</t>
  </si>
  <si>
    <t>闽发改外备〔2020〕C030001号</t>
  </si>
  <si>
    <t>二次装修及室外配套工程建设，设施设备采购</t>
  </si>
  <si>
    <t>2025年6月</t>
  </si>
  <si>
    <t>惠安县</t>
  </si>
  <si>
    <t>黄塘镇</t>
  </si>
  <si>
    <t>惠安县黄塘中心幼儿园</t>
  </si>
  <si>
    <t>教学楼及附属设施</t>
  </si>
  <si>
    <t>有修缮内容，无教育局盖章</t>
  </si>
  <si>
    <t>东岭镇</t>
  </si>
  <si>
    <t>惠安县东岭中心幼儿园</t>
  </si>
  <si>
    <t>选排名第一的项目</t>
  </si>
  <si>
    <t>安溪县</t>
  </si>
  <si>
    <t>凤城镇</t>
  </si>
  <si>
    <t>隆恩瑞府幼儿园</t>
  </si>
  <si>
    <t>闽发改备〔2022〕C090134号</t>
  </si>
  <si>
    <t>教学楼二次装修设备设施添置</t>
  </si>
  <si>
    <t>没有移交协议</t>
  </si>
  <si>
    <t>永春县</t>
  </si>
  <si>
    <t>达埔镇</t>
  </si>
  <si>
    <t>永春县达埔中心幼儿园</t>
  </si>
  <si>
    <t>教学楼修缮</t>
  </si>
  <si>
    <t>五里街镇</t>
  </si>
  <si>
    <t>永春县世哲幼儿园</t>
  </si>
  <si>
    <t>幼儿大型玩具、教具、教学设备等</t>
  </si>
  <si>
    <t>德化县</t>
  </si>
  <si>
    <t>龙浔镇</t>
  </si>
  <si>
    <t>德化县实验幼儿园育英园区</t>
  </si>
  <si>
    <t>教学楼外墙面、户外场地、附属设施改建</t>
  </si>
  <si>
    <t>浔中镇</t>
  </si>
  <si>
    <t>德化县城东幼儿园</t>
  </si>
  <si>
    <t>班级桌面玩具、户外云朵滑梯、攀爬墙、音乐角、玩具收纳柜等保教设施、设备。</t>
  </si>
  <si>
    <t>石狮市</t>
  </si>
  <si>
    <t>鸿山镇</t>
  </si>
  <si>
    <t>石狮市鸿山镇中心幼儿园</t>
  </si>
  <si>
    <t>幼儿园操场建设
班级厕所改造</t>
  </si>
  <si>
    <t>晋江市</t>
  </si>
  <si>
    <t>梅岭街道</t>
  </si>
  <si>
    <t>晋江市实验幼儿园总园区</t>
  </si>
  <si>
    <t>综合楼外墙翻新、北操场户外环境改造</t>
  </si>
  <si>
    <t>池店镇</t>
  </si>
  <si>
    <t>晋江市池店镇顺英幼儿园</t>
  </si>
  <si>
    <t>户外组合游戏器械、教玩具、网超电器类、家具等</t>
  </si>
  <si>
    <t>南安市</t>
  </si>
  <si>
    <t>溪美街道</t>
  </si>
  <si>
    <t>南安市实验幼儿园</t>
  </si>
  <si>
    <t>教学用房、附属用房以及室外附属配套设施等</t>
  </si>
  <si>
    <t>柳城街道</t>
  </si>
  <si>
    <t>南安市第五幼儿园</t>
  </si>
  <si>
    <t>教学、办公及室外玩具等设施设备</t>
  </si>
  <si>
    <t>南安市文昌里幼儿园</t>
  </si>
  <si>
    <t>闽发改备﹝2023﹞C061004号</t>
  </si>
  <si>
    <t>对幼儿活动用房和附属用房进行二次装修，以及设备采购。</t>
  </si>
  <si>
    <t>台商投资区</t>
  </si>
  <si>
    <t>泉州台商投资区</t>
  </si>
  <si>
    <t>玉龙花苑二期 配套园</t>
  </si>
  <si>
    <t>闽发改备〔2021〕C130001号</t>
  </si>
  <si>
    <t>建设内容包括幼儿园室内二次装修、衣帽间、音体室及厨房等</t>
  </si>
  <si>
    <t>龙湖配套园</t>
  </si>
  <si>
    <t>闽发改备〔2019〕C130077号</t>
  </si>
  <si>
    <t>漳州市合计</t>
  </si>
  <si>
    <t>龙文区</t>
  </si>
  <si>
    <t>景山街道</t>
  </si>
  <si>
    <t>阳光城大唐·翡丽印象配套幼儿园</t>
  </si>
  <si>
    <t>幼儿园教玩具设备采购等保教设施设备</t>
  </si>
  <si>
    <t>云霄县</t>
  </si>
  <si>
    <t xml:space="preserve">云陵镇 </t>
  </si>
  <si>
    <t>云霄县实验幼儿园</t>
  </si>
  <si>
    <t>云霄县实验幼儿园户外场地、附属设施建设项目</t>
  </si>
  <si>
    <t>有图纸，有教育局盖章</t>
  </si>
  <si>
    <t>诏安县</t>
  </si>
  <si>
    <t>南诏镇</t>
  </si>
  <si>
    <t>诏安县第二实验幼儿园设备采购</t>
  </si>
  <si>
    <t>幼儿园保教设施等</t>
  </si>
  <si>
    <t>诏安县第四实验幼儿园设备采购</t>
  </si>
  <si>
    <t>长泰区</t>
  </si>
  <si>
    <t>长泰经济开发区</t>
  </si>
  <si>
    <t>漳州市长泰区兴泰中心幼儿园</t>
  </si>
  <si>
    <t>保教设施设备采购</t>
  </si>
  <si>
    <t>武安镇</t>
  </si>
  <si>
    <t>漳州市第五实验幼儿园</t>
  </si>
  <si>
    <t>中骏.云景府小区配套幼儿园</t>
  </si>
  <si>
    <t>配建1所幼儿园，建筑面积3156平方米。</t>
  </si>
  <si>
    <t>东山县</t>
  </si>
  <si>
    <t xml:space="preserve">东山县第二实验幼儿园 </t>
  </si>
  <si>
    <t>没有修缮方案，没有盖章，教学楼曾于2012年改建</t>
  </si>
  <si>
    <t>南靖县</t>
  </si>
  <si>
    <t>靖城镇</t>
  </si>
  <si>
    <t>南靖县靖城中心幼儿园</t>
  </si>
  <si>
    <t>教学楼及附属设施修缮改造</t>
  </si>
  <si>
    <t>山城镇</t>
  </si>
  <si>
    <t>南靖县第二实验幼儿园</t>
  </si>
  <si>
    <t>幼儿园教玩具等保教设施设备</t>
  </si>
  <si>
    <t>平和县</t>
  </si>
  <si>
    <t>小溪镇</t>
  </si>
  <si>
    <t>平和县新星幼儿园第二分园</t>
  </si>
  <si>
    <t>教学设备及教玩具等配套设施设备</t>
  </si>
  <si>
    <t>有清单，有教育局盖章，2022年省级补助资金587万元建设资金</t>
  </si>
  <si>
    <t>华安县</t>
  </si>
  <si>
    <t>仙都镇</t>
  </si>
  <si>
    <t>仙都中心幼儿园</t>
  </si>
  <si>
    <t>办公家具、桌椅、橱柜、户外挑战及教玩具</t>
  </si>
  <si>
    <t>丰山镇</t>
  </si>
  <si>
    <t>华安县经济开发区实验幼儿园</t>
  </si>
  <si>
    <t>华发改审〔2023〕62号</t>
  </si>
  <si>
    <t>新建教学综合楼1幢，及门卫、室外活动场地等配套设施</t>
  </si>
  <si>
    <t>（代建）EPC招标完成，正在进行施工图设计</t>
  </si>
  <si>
    <t>龙海区</t>
  </si>
  <si>
    <t>海澄镇</t>
  </si>
  <si>
    <t>龙海区月港幼儿园</t>
  </si>
  <si>
    <t>保教设备设施采购</t>
  </si>
  <si>
    <t>有清单，有教育局盖章，采购主要用于文璟苑园区</t>
  </si>
  <si>
    <t>漳州招商局开发区</t>
  </si>
  <si>
    <t>南滨社区</t>
  </si>
  <si>
    <t>漳州开发区第二幼儿园</t>
  </si>
  <si>
    <t>附属设施采购</t>
  </si>
  <si>
    <t>凌波社区</t>
  </si>
  <si>
    <t>漳州开发区实验幼儿园</t>
  </si>
  <si>
    <t>数字化信息系统</t>
  </si>
  <si>
    <t>漳州台商投资区</t>
  </si>
  <si>
    <t>社头安置房幼儿园</t>
  </si>
  <si>
    <t>都会之光小区幼儿园</t>
  </si>
  <si>
    <t>对幼儿园教学楼进行二次装修，配套建设幼儿活动场地、跑道等设施</t>
  </si>
  <si>
    <t>漳州市古雷港经济开发区</t>
  </si>
  <si>
    <t>漳州古雷港经济开发区</t>
  </si>
  <si>
    <t>漳州古雷港经济开发区后辽幼儿园</t>
  </si>
  <si>
    <t>电器设备、综合室设备、教学设备、厨房设备等办园所需设施设备</t>
  </si>
  <si>
    <t>有清单，有教育局盖章，2023年项目建设获省级预算内补助资金500万元。</t>
  </si>
  <si>
    <t>漳州高新技术产业开发区</t>
  </si>
  <si>
    <t>颜厝镇</t>
  </si>
  <si>
    <t>颜厝第二中心幼儿园</t>
  </si>
  <si>
    <t>靖圆镇村办</t>
  </si>
  <si>
    <t>靖城中心幼儿园扩建综合楼</t>
  </si>
  <si>
    <t>扩建</t>
  </si>
  <si>
    <t>漳高审立〔2020〕50号</t>
  </si>
  <si>
    <t>综合楼1幢2500平方米，配套幼儿活动场地、室外景观工程及给排水、供配电、场地硬化、绿化、亮化等设施。</t>
  </si>
  <si>
    <t>土地完成征迁，施工图审查完成</t>
  </si>
  <si>
    <t>南平市教育局合计</t>
  </si>
  <si>
    <t>延平区</t>
  </si>
  <si>
    <t>南平市实验幼儿园</t>
  </si>
  <si>
    <t>幼儿活动室装修改造；幼儿户外游戏场地、小礼堂修缮提升；全面改造校园老旧线路。</t>
  </si>
  <si>
    <t>有方案</t>
  </si>
  <si>
    <t>建阳区</t>
  </si>
  <si>
    <t>武夷旅游集团幼儿园（赤岸校区）</t>
  </si>
  <si>
    <t>教具、学具、区角活动设备、大型玩具、课桌椅等。</t>
  </si>
  <si>
    <t>武夷新区三迪云府小区配建幼儿园</t>
  </si>
  <si>
    <t>二次装修及设施设备</t>
  </si>
  <si>
    <t>南平市云谷南第一幼儿园</t>
  </si>
  <si>
    <t>南发改审批〔2023〕62号</t>
  </si>
  <si>
    <t>主要建设幼儿园用房、活动用房、消防水池及泵房，配套建设道路、装饰、电气、暖通、消防、给排水、景观绿化及海绵城市等附属工程。</t>
  </si>
  <si>
    <t>有项目建议书</t>
  </si>
  <si>
    <t>延平区第二实验幼儿园</t>
  </si>
  <si>
    <t>1.户外活动空间改造；2.室内公共空间环境改造提升。</t>
  </si>
  <si>
    <t>延平区第三实验幼儿园</t>
  </si>
  <si>
    <t>户外场地，教学楼地面、课桌椅、计算机、体育器材、玩具柜等采购。</t>
  </si>
  <si>
    <t>水吉中心幼儿园（二分园）</t>
  </si>
  <si>
    <t>教学楼厨房改造工程、厨房设备购置、幼儿组合床购置</t>
  </si>
  <si>
    <t>今年两所私立园倒闭、幼儿全部并入公办园（两所园的修缮做一个标的招标）</t>
  </si>
  <si>
    <t>建阳区实验幼儿园</t>
  </si>
  <si>
    <t>生活设施、图书、购置数字教育资源、课桌凳、计算机、信息技术及教学仪器设备 其他配套设备</t>
  </si>
  <si>
    <t>建阳区水东幼儿园</t>
  </si>
  <si>
    <t>潭发科批〔2023〕105号</t>
  </si>
  <si>
    <t>幼儿教学综合楼，建筑面积5500平方米、室内装修、设施设备、围增大门、室外活动场地及绿化等及附属工程。</t>
  </si>
  <si>
    <t>有可研批复</t>
  </si>
  <si>
    <t>顺昌县</t>
  </si>
  <si>
    <t>顺昌县直机关幼儿园</t>
  </si>
  <si>
    <t>智能化设备、班班通设备、户外体育器械、幼儿玩教具、幼儿桌椅柜、幼儿生活设备、电脑、空调、厨房设备、校园广播、音响设备等。</t>
  </si>
  <si>
    <t>OK 有概算</t>
  </si>
  <si>
    <t>浦城县</t>
  </si>
  <si>
    <t>石陂镇</t>
  </si>
  <si>
    <t>浦城县石陂中心幼儿园</t>
  </si>
  <si>
    <t>建筑面积1084平方米，幼儿园教学楼、水电线路改造、其附属设施改造及操场改造。</t>
  </si>
  <si>
    <t>有预算，有教育局盖章</t>
  </si>
  <si>
    <t>浦城县城西幼儿园</t>
  </si>
  <si>
    <t>浦城县实验幼儿园新华校区</t>
  </si>
  <si>
    <t>浦发改〔2023〕基字80号</t>
  </si>
  <si>
    <t>教学综合楼1栋（项目内含教学、活动、办公、生活用房、人防地下室等）以及室外活动场地、绿化、围墙等。</t>
  </si>
  <si>
    <t>已经完成初设概算评审，正在施工图纸设计</t>
  </si>
  <si>
    <t>光泽县</t>
  </si>
  <si>
    <t>光泽县城北幼儿园</t>
  </si>
  <si>
    <r>
      <rPr>
        <sz val="12"/>
        <rFont val="仿宋"/>
        <charset val="134"/>
      </rPr>
      <t>户外大型玩具、生活设施</t>
    </r>
    <r>
      <rPr>
        <sz val="12"/>
        <rFont val="DejaVu Sans"/>
        <charset val="134"/>
      </rPr>
      <t> </t>
    </r>
    <r>
      <rPr>
        <sz val="12"/>
        <rFont val="仿宋"/>
        <charset val="134"/>
      </rPr>
      <t xml:space="preserve"> 、课桌凳 计算机、信息技术及教学仪器设备等。</t>
    </r>
  </si>
  <si>
    <t>松溪县</t>
  </si>
  <si>
    <t>搭建风雨连廊，大门改造及户外设施修缮等</t>
  </si>
  <si>
    <t>松溪县南门幼儿园</t>
  </si>
  <si>
    <t>户外大型玩具、室内、智能化设备、电脑、床铺等</t>
  </si>
  <si>
    <t>政和县</t>
  </si>
  <si>
    <t>政和县第六实验幼儿园</t>
  </si>
  <si>
    <t>户外运动设施、钢琴、桌面玩具、办公电脑、教学一体机等</t>
  </si>
  <si>
    <t>政和县同心幼儿园</t>
  </si>
  <si>
    <t>户外索桥、跷跷板、梅花桩、大型栈道</t>
  </si>
  <si>
    <t>邵武市</t>
  </si>
  <si>
    <t>邵武市第一幼儿园东南商业城园区</t>
  </si>
  <si>
    <t>邵发改投资〔2022〕90号</t>
  </si>
  <si>
    <t>教学综合楼整体修缮改造（教室、盥洗室、户外操场、厨房改造工程及电增容；教学、办公设备及厨房设备购置；大型玩具购置；幼儿桌椅、床铺购置）。</t>
  </si>
  <si>
    <t>有修缮清单和发改委立项，有盖章</t>
  </si>
  <si>
    <t>实验幼儿园第二分园</t>
  </si>
  <si>
    <t>科探室、自然博物馆、美创室、陶泥室、生活坊、角色馆、竹木坊、运动场等玩教具，各班级直饮水机、户外游乐设施等。</t>
  </si>
  <si>
    <t>2024年7月</t>
  </si>
  <si>
    <t>武夷山市</t>
  </si>
  <si>
    <t>武夷山</t>
  </si>
  <si>
    <t>武夷山市岚谷中心幼儿园</t>
  </si>
  <si>
    <t>武教函〔2023〕52号</t>
  </si>
  <si>
    <t>益智玩具、教具、学具、区角活动设备、大型玩具、课桌椅等。</t>
  </si>
  <si>
    <t>武夷山市兴田中心幼儿园</t>
  </si>
  <si>
    <t>武教函〔2023〕54号</t>
  </si>
  <si>
    <t>室内外大型玩具运动设备室内、户外建构玩具 、运动器械户外、教具、学具、区角活动设备、课桌椅等。</t>
  </si>
  <si>
    <t>建瓯市</t>
  </si>
  <si>
    <t>建瓯市房道中心幼儿园</t>
  </si>
  <si>
    <t>教学综合楼内外墙粉刷、安防监控、卫生间、水电、消防等改造</t>
  </si>
  <si>
    <t>建瓯市
机关幼儿园</t>
  </si>
  <si>
    <t>智能化设备、安防监控、户外LED显示屏、广播系统等设施设备</t>
  </si>
  <si>
    <t>龙岩市合计</t>
  </si>
  <si>
    <t>新罗区</t>
  </si>
  <si>
    <t>曹溪街道</t>
  </si>
  <si>
    <t>厦鑫山水大宅院幼儿园</t>
  </si>
  <si>
    <t>闽发改备（2021）F010192号</t>
  </si>
  <si>
    <t>新建幼儿教学用房及配套设施等，新增12个班，360个学位。</t>
  </si>
  <si>
    <t>2025年12月</t>
  </si>
  <si>
    <t>永定区</t>
  </si>
  <si>
    <t>高头镇</t>
  </si>
  <si>
    <t>高头中心幼儿园</t>
  </si>
  <si>
    <t>凤城街道</t>
  </si>
  <si>
    <t>龙凤幼儿园</t>
  </si>
  <si>
    <t>保教设施设备</t>
  </si>
  <si>
    <t>金凤幼儿园</t>
  </si>
  <si>
    <t>教学楼</t>
  </si>
  <si>
    <t>城东幼儿园</t>
  </si>
  <si>
    <t>高陂镇莲花小区</t>
  </si>
  <si>
    <t>高陂中心幼儿园莲花分园</t>
  </si>
  <si>
    <t>长汀县</t>
  </si>
  <si>
    <t>汀州镇</t>
  </si>
  <si>
    <t>长汀职专附属幼儿园</t>
  </si>
  <si>
    <t>户外建构、室内建构、区域游戏、墙面等幼儿玩具</t>
  </si>
  <si>
    <t>河田镇</t>
  </si>
  <si>
    <t>长汀县河田第二中心幼儿园</t>
  </si>
  <si>
    <t>采购活动区域玩具、户外玩具、攀爬玩具等</t>
  </si>
  <si>
    <t>上杭县</t>
  </si>
  <si>
    <t>上杭县临城镇</t>
  </si>
  <si>
    <t>改建活动室、卫生保健室、功能室，配置相关设施设备的游戏材料和玩教具等</t>
  </si>
  <si>
    <t>上杭县官庄镇</t>
  </si>
  <si>
    <t>官庄中心幼儿园</t>
  </si>
  <si>
    <t>武平县</t>
  </si>
  <si>
    <t>平川街道</t>
  </si>
  <si>
    <t>户外大型玩具、图书等</t>
  </si>
  <si>
    <t>蓝天幼儿园</t>
  </si>
  <si>
    <t>户内外教玩具</t>
  </si>
  <si>
    <t>武发改审字〔2023〕187号</t>
  </si>
  <si>
    <t>对围墙、沙水区、功能室等进行改造</t>
  </si>
  <si>
    <t>碧水幼儿园</t>
  </si>
  <si>
    <t>对教学楼、卫生间、消防等进行改造</t>
  </si>
  <si>
    <t>连城县</t>
  </si>
  <si>
    <t>莲峰镇</t>
  </si>
  <si>
    <t>冠豸幼儿园</t>
  </si>
  <si>
    <t>大型户外教玩具、教学仪器设备等</t>
  </si>
  <si>
    <t>姑田镇</t>
  </si>
  <si>
    <t>姑田镇中心幼儿园</t>
  </si>
  <si>
    <t>漳平市</t>
  </si>
  <si>
    <t>漳平市菁城街道</t>
  </si>
  <si>
    <t>漳平市实验幼儿园</t>
  </si>
  <si>
    <t>漳平市菁城街道北郊社区</t>
  </si>
  <si>
    <t>漳平市城北幼儿园</t>
  </si>
  <si>
    <t>漳平市和平镇和平村</t>
  </si>
  <si>
    <t>漳平市和平中心幼儿园</t>
  </si>
  <si>
    <t>漳发改审〔2017〕3号</t>
  </si>
  <si>
    <t>教学楼及户外设施、附属工程</t>
  </si>
  <si>
    <t>漳平市赤水镇赤水村</t>
  </si>
  <si>
    <t>漳平市赤水中心幼儿园</t>
  </si>
  <si>
    <t>漳发改审〔2024〕1号</t>
  </si>
  <si>
    <t>宁德市合计</t>
  </si>
  <si>
    <t>蕉城区</t>
  </si>
  <si>
    <t>蓝田村</t>
  </si>
  <si>
    <t>蓝田幼儿园</t>
  </si>
  <si>
    <t>修缮教学楼</t>
  </si>
  <si>
    <t>有预算书，无县教育局盖章</t>
  </si>
  <si>
    <t>蕉南街道</t>
  </si>
  <si>
    <t>蕉南幼儿园</t>
  </si>
  <si>
    <t>保教设施设备更新</t>
  </si>
  <si>
    <t>连城片区</t>
  </si>
  <si>
    <t>和玺二期配套幼儿园</t>
  </si>
  <si>
    <t>装修改造幼儿园4500平方米</t>
  </si>
  <si>
    <t>三都澳新区</t>
  </si>
  <si>
    <t>武夷天悦儒郡配套幼儿园</t>
  </si>
  <si>
    <t>装修改造幼儿园2500平方米</t>
  </si>
  <si>
    <t>霞浦县</t>
  </si>
  <si>
    <t>松港街道</t>
  </si>
  <si>
    <t>霞浦县实验幼儿园</t>
  </si>
  <si>
    <t>班级区域操作材料、户外体育运动器械、大型建构材料、角色游戏材料等教玩具。</t>
  </si>
  <si>
    <t>盐田乡</t>
  </si>
  <si>
    <t>霞浦县盐田中心幼儿园</t>
  </si>
  <si>
    <t>幼儿图书、班级学习操作材料、游戏设备、户外运动设备、班级电钢琴、智能学习设备。</t>
  </si>
  <si>
    <t>松山街道</t>
  </si>
  <si>
    <t>霞浦一幼玖珑国际分园</t>
  </si>
  <si>
    <t>幼儿园装修及设备购置</t>
  </si>
  <si>
    <t>有产权证，有方案</t>
  </si>
  <si>
    <t>霞浦实幼建发书香府分园</t>
  </si>
  <si>
    <t>古田县</t>
  </si>
  <si>
    <t>大桥镇</t>
  </si>
  <si>
    <t>大桥中心幼儿园</t>
  </si>
  <si>
    <t>城西街道</t>
  </si>
  <si>
    <t>教玩具、课桌椅等设施设备</t>
  </si>
  <si>
    <t>屏南县</t>
  </si>
  <si>
    <t>古峰镇</t>
  </si>
  <si>
    <t>屏南县光明幼儿园</t>
  </si>
  <si>
    <t>周宁县</t>
  </si>
  <si>
    <t>狮城镇</t>
  </si>
  <si>
    <t>县直机关幼儿园</t>
  </si>
  <si>
    <t>纯明楼内外墙修缮、地面维修、室内线路改造及户外场地修缮等</t>
  </si>
  <si>
    <t>周宁县实验幼儿园</t>
  </si>
  <si>
    <t>户外教玩具、生活设备、图书等</t>
  </si>
  <si>
    <t>柘荣县</t>
  </si>
  <si>
    <t>双城镇</t>
  </si>
  <si>
    <t>柘荣县第三幼儿园</t>
  </si>
  <si>
    <t>对原有班级、活动场地进行改造、购置设备等</t>
  </si>
  <si>
    <t>东源乡</t>
  </si>
  <si>
    <t>柘荣县东源幼儿园</t>
  </si>
  <si>
    <t>福安市</t>
  </si>
  <si>
    <t>城北街道</t>
  </si>
  <si>
    <t>福安市第二实验幼儿园</t>
  </si>
  <si>
    <t>对幼儿园园舍及附属设施、水电管网进行维修改造</t>
  </si>
  <si>
    <t>有修缮方案，无教育局盖章</t>
  </si>
  <si>
    <t>湾坞镇</t>
  </si>
  <si>
    <t>青丰绿园项目配建幼儿园</t>
  </si>
  <si>
    <t>闽发改备〔2019〕J020080号</t>
  </si>
  <si>
    <t>小区配建幼儿园，12个班级规模，移交后进行二次装修和设备添置后投用。</t>
  </si>
  <si>
    <t>建发和璟小区配建幼儿园（机关儿童学园分园）</t>
  </si>
  <si>
    <t>闽发改备〔2022〕J020068号</t>
  </si>
  <si>
    <t>5月能移交，无移交协议</t>
  </si>
  <si>
    <t>福鼎市</t>
  </si>
  <si>
    <t>桐城街道</t>
  </si>
  <si>
    <t>实验幼儿园附属分园</t>
  </si>
  <si>
    <t>恒荣悦海湾小区配套幼儿园改造6000平米</t>
  </si>
  <si>
    <t>平潭综合实验区</t>
  </si>
  <si>
    <t>金井片区北厝镇</t>
  </si>
  <si>
    <t>平潭北厝镇中心幼儿园</t>
  </si>
  <si>
    <t>消防系统改造及各班级室内装修提升改造</t>
  </si>
  <si>
    <t>投入使用时间不到15年，考虑平潭特殊情况，建议保留</t>
  </si>
  <si>
    <t>海坛片区上楼村</t>
  </si>
  <si>
    <t>平潭海峡儿童学园</t>
  </si>
  <si>
    <t>室内外教玩具、多媒体设施设备</t>
  </si>
  <si>
    <t>附件2</t>
  </si>
  <si>
    <t>2024年城镇公办幼儿园结构优化与质量提升工程资金安排表</t>
  </si>
  <si>
    <t>市、县（区）名称</t>
  </si>
  <si>
    <t>闽财教指〔2023〕115号已提前下达金额（万元）</t>
  </si>
  <si>
    <t>本次追加（减）金额（万元）</t>
  </si>
  <si>
    <t>福州市</t>
  </si>
  <si>
    <t>马尾区</t>
  </si>
  <si>
    <t>福州高新区管委会</t>
  </si>
  <si>
    <t>莆田市</t>
  </si>
  <si>
    <t>湄洲岛管委会</t>
  </si>
  <si>
    <t>三明市</t>
  </si>
  <si>
    <t>沙县区</t>
  </si>
  <si>
    <t>建宁县</t>
  </si>
  <si>
    <t>永安市</t>
  </si>
  <si>
    <t>泉州市</t>
  </si>
  <si>
    <t>漳州市</t>
  </si>
  <si>
    <t>漳浦县</t>
  </si>
  <si>
    <t>南平市</t>
  </si>
  <si>
    <t>龙岩市</t>
  </si>
  <si>
    <t>宁德市</t>
  </si>
  <si>
    <t>附件3</t>
  </si>
  <si>
    <r>
      <rPr>
        <sz val="18"/>
        <rFont val="方正小标宋简体"/>
        <charset val="134"/>
      </rPr>
      <t>专项资金绩效目标表</t>
    </r>
    <r>
      <rPr>
        <sz val="16"/>
        <rFont val="方正小标宋简体"/>
        <charset val="134"/>
      </rPr>
      <t xml:space="preserve">
</t>
    </r>
    <r>
      <rPr>
        <sz val="12"/>
        <rFont val="宋体"/>
        <charset val="134"/>
        <scheme val="minor"/>
      </rPr>
      <t>（ 2024 年度）</t>
    </r>
  </si>
  <si>
    <t>项目名称</t>
  </si>
  <si>
    <t>城镇公办幼儿园结构优化与质量提升资金</t>
  </si>
  <si>
    <t>主管部门（单位）名称及部门预算编码</t>
  </si>
  <si>
    <t>福建省教育厅</t>
  </si>
  <si>
    <t>补助区域</t>
  </si>
  <si>
    <t>各市、县（区），平潭综合实验区</t>
  </si>
  <si>
    <t>资金情况
（万元）</t>
  </si>
  <si>
    <t xml:space="preserve"> 资金总额</t>
  </si>
  <si>
    <t>33401万元</t>
  </si>
  <si>
    <t xml:space="preserve"> 其中：财政拨款</t>
  </si>
  <si>
    <t xml:space="preserve">       其他资金</t>
  </si>
  <si>
    <t>总体目标</t>
  </si>
  <si>
    <t>支持各地通过新建、改扩建、园所修缮、保教设施设备更新配置等方式改造城区和城乡结合部公办幼儿园，进一步优化城镇公办学前教育资源供给结构、提升办园质量。</t>
  </si>
  <si>
    <t>绩
效
指
标</t>
  </si>
  <si>
    <t>一级
指标</t>
  </si>
  <si>
    <t>二级指标</t>
  </si>
  <si>
    <t>三级指标</t>
  </si>
  <si>
    <t>指标解释</t>
  </si>
  <si>
    <t>区域目标值</t>
  </si>
  <si>
    <t>成本指标</t>
  </si>
  <si>
    <t>经济成本指标</t>
  </si>
  <si>
    <t>新建项目每平方米补助标准（元）</t>
  </si>
  <si>
    <t>≤2800元/平方米</t>
  </si>
  <si>
    <t xml:space="preserve">产出指标
</t>
  </si>
  <si>
    <t>数量指标</t>
  </si>
  <si>
    <t>全省/市学前三年毛入园率</t>
  </si>
  <si>
    <t>≥95%</t>
  </si>
  <si>
    <t>全省/市普惠性幼儿园覆盖率</t>
  </si>
  <si>
    <t>≥90%</t>
  </si>
  <si>
    <t>支持建设学校数量</t>
  </si>
  <si>
    <t>质量指标</t>
  </si>
  <si>
    <t>新建、改扩建项目质量达标率</t>
  </si>
  <si>
    <t>设备采购质量合格率</t>
  </si>
  <si>
    <t>时效指标</t>
  </si>
  <si>
    <t>项目开工率</t>
  </si>
  <si>
    <t>效益指标</t>
  </si>
  <si>
    <t>社会效益
指标</t>
  </si>
  <si>
    <t>积极引导地方扩大普惠性学前教育资源</t>
  </si>
  <si>
    <t>持续扩大，2023、2024年普惠性幼儿园数量</t>
  </si>
  <si>
    <t>公办园在园幼儿占比</t>
  </si>
  <si>
    <t>持续提高，2023、2024年全省公办园在园幼儿占比%</t>
  </si>
  <si>
    <t>引导地方提高学前教育普惠保障水平</t>
  </si>
  <si>
    <t>有效提高，2023、2024年普惠性幼儿园覆盖率%，；2023、2024年学前三年毛入园率%；2023、2024年全省公办园在园幼儿占比%</t>
  </si>
  <si>
    <t>满意度
指标</t>
  </si>
  <si>
    <t>服务对象
满意度指标</t>
  </si>
  <si>
    <t>师生、家长满意度</t>
  </si>
</sst>
</file>

<file path=xl/styles.xml><?xml version="1.0" encoding="utf-8"?>
<styleSheet xmlns="http://schemas.openxmlformats.org/spreadsheetml/2006/main">
  <numFmts count="8">
    <numFmt numFmtId="176" formatCode="yyyy&quot;年&quot;m&quot;月&quot;;@"/>
    <numFmt numFmtId="177" formatCode="0.00_ "/>
    <numFmt numFmtId="178" formatCode="#,##0_ "/>
    <numFmt numFmtId="179" formatCode="0_ ;[Red]\-0\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5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4"/>
      <name val="黑体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6"/>
      <name val="方正小标宋简体"/>
      <charset val="134"/>
    </font>
    <font>
      <sz val="12"/>
      <name val="仿宋"/>
      <charset val="134"/>
    </font>
    <font>
      <sz val="11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3"/>
      <name val="方正黑体_GBK"/>
      <charset val="134"/>
    </font>
    <font>
      <b/>
      <sz val="12"/>
      <name val="仿宋"/>
      <charset val="134"/>
    </font>
    <font>
      <b/>
      <sz val="12"/>
      <color theme="1"/>
      <name val="仿宋"/>
      <charset val="134"/>
    </font>
    <font>
      <b/>
      <sz val="12"/>
      <color rgb="FFFF0000"/>
      <name val="仿宋"/>
      <charset val="134"/>
    </font>
    <font>
      <sz val="12"/>
      <color theme="1"/>
      <name val="仿宋"/>
      <charset val="134"/>
    </font>
    <font>
      <b/>
      <sz val="14"/>
      <name val="黑体"/>
      <charset val="134"/>
    </font>
    <font>
      <sz val="14"/>
      <name val="宋体"/>
      <charset val="134"/>
      <scheme val="minor"/>
    </font>
    <font>
      <sz val="14"/>
      <name val="宋体"/>
      <charset val="134"/>
    </font>
    <font>
      <b/>
      <sz val="14"/>
      <name val="宋体"/>
      <charset val="134"/>
    </font>
    <font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20"/>
      <name val="方正小标宋简体"/>
      <charset val="134"/>
    </font>
    <font>
      <sz val="20"/>
      <name val="宋体"/>
      <charset val="134"/>
    </font>
    <font>
      <sz val="12"/>
      <name val="方正黑体_GBK"/>
      <charset val="134"/>
    </font>
    <font>
      <b/>
      <sz val="14"/>
      <name val="仿宋_GB2312"/>
      <charset val="134"/>
    </font>
    <font>
      <b/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DejaVu Sans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>
      <alignment vertical="center"/>
    </xf>
    <xf numFmtId="0" fontId="1" fillId="0" borderId="0"/>
    <xf numFmtId="0" fontId="29" fillId="12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40" fillId="0" borderId="0" applyBorder="0">
      <protection locked="0"/>
    </xf>
    <xf numFmtId="0" fontId="29" fillId="18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43" fillId="23" borderId="16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48" fillId="32" borderId="16" applyNumberFormat="0" applyAlignment="0" applyProtection="0">
      <alignment vertical="center"/>
    </xf>
    <xf numFmtId="0" fontId="44" fillId="23" borderId="17" applyNumberFormat="0" applyAlignment="0" applyProtection="0">
      <alignment vertical="center"/>
    </xf>
    <xf numFmtId="0" fontId="38" fillId="13" borderId="13" applyNumberFormat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9" borderId="0" applyNumberFormat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17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1" fillId="0" borderId="0" xfId="49" applyFont="1" applyFill="1" applyBorder="1" applyAlignment="1">
      <alignment vertical="center" wrapText="1"/>
    </xf>
    <xf numFmtId="0" fontId="2" fillId="0" borderId="0" xfId="0" applyFont="1">
      <alignment vertical="center"/>
    </xf>
    <xf numFmtId="0" fontId="3" fillId="0" borderId="0" xfId="49" applyFont="1" applyFill="1" applyBorder="1" applyAlignment="1">
      <alignment horizontal="left" vertical="top"/>
    </xf>
    <xf numFmtId="0" fontId="4" fillId="0" borderId="0" xfId="49" applyFont="1" applyFill="1" applyBorder="1" applyAlignment="1">
      <alignment vertical="center" wrapText="1"/>
    </xf>
    <xf numFmtId="0" fontId="5" fillId="0" borderId="0" xfId="49" applyFont="1" applyFill="1" applyBorder="1" applyAlignment="1">
      <alignment horizontal="center" vertical="top" wrapText="1"/>
    </xf>
    <xf numFmtId="0" fontId="6" fillId="0" borderId="0" xfId="49" applyFont="1" applyFill="1" applyBorder="1" applyAlignment="1">
      <alignment horizontal="center" vertical="top" wrapTex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7" fillId="0" borderId="1" xfId="49" applyFont="1" applyFill="1" applyBorder="1" applyAlignment="1">
      <alignment vertical="center" wrapText="1"/>
    </xf>
    <xf numFmtId="0" fontId="7" fillId="0" borderId="1" xfId="49" applyFont="1" applyFill="1" applyBorder="1" applyAlignment="1">
      <alignment horizontal="left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7" fillId="0" borderId="4" xfId="49" applyFont="1" applyFill="1" applyBorder="1" applyAlignment="1">
      <alignment horizontal="center" vertical="center" wrapText="1"/>
    </xf>
    <xf numFmtId="0" fontId="8" fillId="0" borderId="0" xfId="49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9" fontId="7" fillId="0" borderId="5" xfId="49" applyNumberFormat="1" applyFont="1" applyFill="1" applyBorder="1" applyAlignment="1" applyProtection="1">
      <alignment horizontal="center" vertical="center" wrapText="1"/>
    </xf>
    <xf numFmtId="9" fontId="7" fillId="0" borderId="6" xfId="49" applyNumberFormat="1" applyFont="1" applyFill="1" applyBorder="1" applyAlignment="1" applyProtection="1">
      <alignment horizontal="center" vertical="center" wrapText="1"/>
    </xf>
    <xf numFmtId="0" fontId="7" fillId="0" borderId="5" xfId="49" applyFont="1" applyFill="1" applyBorder="1" applyAlignment="1">
      <alignment horizontal="center" vertical="center" wrapText="1"/>
    </xf>
    <xf numFmtId="0" fontId="7" fillId="0" borderId="6" xfId="49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 applyProtection="1">
      <alignment horizontal="center" vertical="center" wrapText="1"/>
    </xf>
    <xf numFmtId="9" fontId="7" fillId="0" borderId="1" xfId="49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9" fontId="7" fillId="0" borderId="7" xfId="49" applyNumberFormat="1" applyFont="1" applyFill="1" applyBorder="1" applyAlignment="1" applyProtection="1">
      <alignment horizontal="center" vertical="center" wrapText="1"/>
    </xf>
    <xf numFmtId="0" fontId="7" fillId="0" borderId="7" xfId="49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179" fontId="0" fillId="0" borderId="0" xfId="0" applyNumberFormat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3" fillId="0" borderId="1" xfId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79" fontId="13" fillId="0" borderId="1" xfId="0" applyNumberFormat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9" fontId="17" fillId="0" borderId="1" xfId="0" applyNumberFormat="1" applyFont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79" fontId="15" fillId="0" borderId="1" xfId="0" applyNumberFormat="1" applyFont="1" applyBorder="1" applyAlignment="1">
      <alignment horizontal="center" vertical="center"/>
    </xf>
    <xf numFmtId="0" fontId="2" fillId="0" borderId="0" xfId="0" applyFont="1" applyFill="1">
      <alignment vertical="center"/>
    </xf>
    <xf numFmtId="0" fontId="18" fillId="0" borderId="0" xfId="0" applyFont="1" applyFill="1">
      <alignment vertical="center"/>
    </xf>
    <xf numFmtId="0" fontId="19" fillId="0" borderId="0" xfId="0" applyFont="1" applyFill="1">
      <alignment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>
      <alignment vertical="center"/>
    </xf>
    <xf numFmtId="0" fontId="20" fillId="0" borderId="0" xfId="0" applyFont="1" applyFill="1" applyAlignment="1">
      <alignment vertical="center" wrapText="1"/>
    </xf>
    <xf numFmtId="0" fontId="21" fillId="0" borderId="0" xfId="0" applyFont="1" applyFill="1" applyAlignment="1">
      <alignment vertical="center" wrapText="1"/>
    </xf>
    <xf numFmtId="0" fontId="20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horizontal="center" vertical="center" wrapText="1"/>
    </xf>
    <xf numFmtId="0" fontId="22" fillId="0" borderId="0" xfId="0" applyFont="1" applyFill="1">
      <alignment vertical="center"/>
    </xf>
    <xf numFmtId="0" fontId="20" fillId="0" borderId="0" xfId="0" applyNumberFormat="1" applyFont="1" applyFill="1" applyAlignment="1">
      <alignment horizontal="center" vertical="center" wrapText="1"/>
    </xf>
    <xf numFmtId="0" fontId="19" fillId="0" borderId="0" xfId="0" applyNumberFormat="1" applyFont="1" applyFill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2" fillId="0" borderId="0" xfId="0" applyFont="1" applyFill="1" applyAlignment="1">
      <alignment vertical="center"/>
    </xf>
    <xf numFmtId="0" fontId="23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>
      <alignment vertical="center"/>
    </xf>
    <xf numFmtId="0" fontId="8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24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6" fillId="0" borderId="1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37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left" vertical="center"/>
    </xf>
    <xf numFmtId="0" fontId="1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7" fillId="0" borderId="1" xfId="37" applyFont="1" applyFill="1" applyBorder="1" applyAlignment="1">
      <alignment horizontal="left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57" fontId="20" fillId="0" borderId="1" xfId="0" applyNumberFormat="1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57" fontId="20" fillId="0" borderId="1" xfId="0" applyNumberFormat="1" applyFont="1" applyFill="1" applyBorder="1" applyAlignment="1">
      <alignment horizontal="center" vertical="center" wrapText="1" shrinkToFit="1"/>
    </xf>
    <xf numFmtId="0" fontId="20" fillId="0" borderId="9" xfId="0" applyFont="1" applyFill="1" applyBorder="1" applyAlignment="1">
      <alignment vertical="center" wrapText="1"/>
    </xf>
    <xf numFmtId="0" fontId="21" fillId="0" borderId="9" xfId="0" applyFont="1" applyFill="1" applyBorder="1" applyAlignment="1">
      <alignment vertical="center" wrapText="1"/>
    </xf>
    <xf numFmtId="57" fontId="20" fillId="0" borderId="1" xfId="37" applyNumberFormat="1" applyFont="1" applyFill="1" applyBorder="1" applyAlignment="1">
      <alignment horizontal="center" vertical="center" wrapText="1"/>
    </xf>
    <xf numFmtId="0" fontId="20" fillId="0" borderId="9" xfId="37" applyFont="1" applyFill="1" applyBorder="1" applyAlignment="1">
      <alignment vertical="center" wrapText="1"/>
    </xf>
    <xf numFmtId="0" fontId="18" fillId="0" borderId="0" xfId="0" applyFont="1" applyFill="1" applyAlignment="1">
      <alignment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176" fontId="20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0" fontId="20" fillId="0" borderId="9" xfId="0" applyNumberFormat="1" applyFont="1" applyFill="1" applyBorder="1" applyAlignment="1">
      <alignment horizontal="center" vertical="center" wrapText="1"/>
    </xf>
    <xf numFmtId="0" fontId="21" fillId="0" borderId="9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19" fillId="0" borderId="6" xfId="0" applyNumberFormat="1" applyFont="1" applyFill="1" applyBorder="1" applyAlignment="1">
      <alignment horizontal="center" vertical="center" wrapText="1"/>
    </xf>
    <xf numFmtId="57" fontId="21" fillId="0" borderId="1" xfId="0" applyNumberFormat="1" applyFont="1" applyFill="1" applyBorder="1" applyAlignment="1">
      <alignment horizontal="center" vertical="center" wrapText="1"/>
    </xf>
    <xf numFmtId="0" fontId="28" fillId="0" borderId="0" xfId="0" applyNumberFormat="1" applyFont="1" applyFill="1" applyBorder="1" applyAlignment="1">
      <alignment horizontal="center" vertical="center" wrapText="1"/>
    </xf>
    <xf numFmtId="0" fontId="19" fillId="0" borderId="0" xfId="0" applyNumberFormat="1" applyFont="1" applyFill="1" applyBorder="1" applyAlignment="1">
      <alignment horizontal="center" vertical="center" wrapText="1"/>
    </xf>
    <xf numFmtId="0" fontId="14" fillId="0" borderId="1" xfId="49" applyFont="1" applyFill="1" applyBorder="1" applyAlignment="1">
      <alignment horizontal="center" vertical="center" wrapText="1"/>
    </xf>
    <xf numFmtId="57" fontId="7" fillId="0" borderId="1" xfId="49" applyNumberFormat="1" applyFont="1" applyFill="1" applyBorder="1" applyAlignment="1">
      <alignment horizontal="center" vertical="center" wrapText="1"/>
    </xf>
    <xf numFmtId="0" fontId="21" fillId="0" borderId="1" xfId="49" applyFont="1" applyFill="1" applyBorder="1" applyAlignment="1">
      <alignment horizontal="center" vertical="center" wrapText="1"/>
    </xf>
    <xf numFmtId="0" fontId="21" fillId="0" borderId="9" xfId="49" applyFont="1" applyFill="1" applyBorder="1" applyAlignment="1">
      <alignment horizontal="center" vertical="center" wrapText="1"/>
    </xf>
    <xf numFmtId="57" fontId="20" fillId="0" borderId="1" xfId="49" applyNumberFormat="1" applyFont="1" applyFill="1" applyBorder="1" applyAlignment="1">
      <alignment horizontal="center" vertical="center" wrapText="1"/>
    </xf>
    <xf numFmtId="0" fontId="20" fillId="0" borderId="9" xfId="49" applyFont="1" applyFill="1" applyBorder="1" applyAlignment="1">
      <alignment horizontal="center" vertical="center" wrapText="1"/>
    </xf>
    <xf numFmtId="0" fontId="20" fillId="0" borderId="9" xfId="49" applyFont="1" applyFill="1" applyBorder="1" applyAlignment="1">
      <alignment vertical="center" wrapText="1"/>
    </xf>
    <xf numFmtId="177" fontId="20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常规 4 11" xfId="6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常规 3" xfId="37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常规 2" xfId="49"/>
    <cellStyle name="60% - 强调文字颜色 2" xfId="50" builtinId="36"/>
    <cellStyle name="40% - 强调文字颜色 2" xfId="51" builtinId="35"/>
    <cellStyle name="强调文字颜色 3" xfId="52" builtinId="37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468;&#20214;1-4(3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1申报汇总 (项目类别)"/>
      <sheetName val="附件2审核汇总（地市）"/>
      <sheetName val="附件3汇总表"/>
      <sheetName val="附件4落选项目汇总"/>
      <sheetName val="参数"/>
      <sheetName val="项目申报情况汇总"/>
      <sheetName val="修缮"/>
      <sheetName val="设备采购"/>
      <sheetName val="新建"/>
      <sheetName val="改扩建"/>
      <sheetName val="小区配建"/>
      <sheetName val="街道、国企"/>
      <sheetName val="修缮 (2)"/>
      <sheetName val="设备采购 (2)"/>
      <sheetName val="改扩建 (2)"/>
      <sheetName val="小区配建 (2)"/>
      <sheetName val="新建 (2)"/>
      <sheetName val="街道、国企 (2)"/>
      <sheetName val="对比表 （按地市分析）"/>
      <sheetName val="对比表 （按建设类型分析）"/>
      <sheetName val="Sheet2"/>
    </sheetNames>
    <sheetDataSet>
      <sheetData sheetId="0"/>
      <sheetData sheetId="1"/>
      <sheetData sheetId="2"/>
      <sheetData sheetId="3"/>
      <sheetData sheetId="4">
        <row r="1">
          <cell r="B1">
            <v>0.28</v>
          </cell>
        </row>
        <row r="1">
          <cell r="D1">
            <v>0.096</v>
          </cell>
        </row>
        <row r="2">
          <cell r="B2">
            <v>1</v>
          </cell>
        </row>
        <row r="3">
          <cell r="B3">
            <v>0.6</v>
          </cell>
          <cell r="C3">
            <v>0.4</v>
          </cell>
        </row>
        <row r="4">
          <cell r="B4">
            <v>0.4</v>
          </cell>
        </row>
        <row r="5">
          <cell r="B5">
            <v>0.3</v>
          </cell>
        </row>
        <row r="9">
          <cell r="F9">
            <v>200</v>
          </cell>
        </row>
        <row r="10">
          <cell r="F10">
            <v>0.85</v>
          </cell>
          <cell r="G10">
            <v>0.25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259"/>
  <sheetViews>
    <sheetView showZeros="0" tabSelected="1" view="pageBreakPreview" zoomScaleNormal="100" workbookViewId="0">
      <pane ySplit="1" topLeftCell="A214" activePane="bottomLeft" state="frozen"/>
      <selection/>
      <selection pane="bottomLeft" activeCell="A241" sqref="$A241:$XFD241"/>
    </sheetView>
  </sheetViews>
  <sheetFormatPr defaultColWidth="9" defaultRowHeight="15.75"/>
  <cols>
    <col min="1" max="1" width="9.95833333333333" style="59" customWidth="1"/>
    <col min="2" max="2" width="18.2083333333333" style="43" customWidth="1"/>
    <col min="3" max="3" width="31.6333333333333" style="60" customWidth="1"/>
    <col min="4" max="4" width="9.625" style="61" customWidth="1"/>
    <col min="5" max="5" width="3.63333333333333" style="43" hidden="1" customWidth="1"/>
    <col min="6" max="6" width="4.63333333333333" style="43" hidden="1" customWidth="1"/>
    <col min="7" max="7" width="17.5083333333333" style="43" hidden="1" customWidth="1"/>
    <col min="8" max="8" width="3.63333333333333" style="43" hidden="1" customWidth="1"/>
    <col min="9" max="9" width="2.63333333333333" style="43" hidden="1" customWidth="1"/>
    <col min="10" max="10" width="4.25833333333333" style="43" hidden="1" customWidth="1"/>
    <col min="11" max="11" width="12.2" style="61" hidden="1" customWidth="1"/>
    <col min="12" max="12" width="30.625" style="61" hidden="1" customWidth="1"/>
    <col min="13" max="13" width="1.25" style="62" hidden="1" customWidth="1"/>
    <col min="14" max="15" width="11.8833333333333" style="43" customWidth="1"/>
    <col min="16" max="16" width="10.3833333333333" style="43" customWidth="1"/>
    <col min="17" max="17" width="11.6333333333333" style="43" customWidth="1"/>
    <col min="18" max="18" width="9.125" style="43" customWidth="1"/>
    <col min="19" max="19" width="9.28333333333333" style="43" customWidth="1"/>
    <col min="20" max="20" width="10.125" style="43" customWidth="1"/>
    <col min="21" max="21" width="11.5333333333333" style="43" customWidth="1"/>
    <col min="22" max="23" width="10.3833333333333" style="43" hidden="1" customWidth="1"/>
    <col min="24" max="24" width="8.13333333333333" style="43" hidden="1" customWidth="1"/>
    <col min="25" max="25" width="10.3833333333333" style="43" hidden="1" customWidth="1"/>
    <col min="26" max="26" width="8.13333333333333" style="43" hidden="1" customWidth="1"/>
    <col min="27" max="28" width="7.13333333333333" style="43" hidden="1" customWidth="1"/>
    <col min="29" max="29" width="15.25" style="43" hidden="1" customWidth="1"/>
    <col min="30" max="32" width="10.3833333333333" style="43" hidden="1" customWidth="1"/>
    <col min="33" max="33" width="11.2416666666667" style="43" customWidth="1"/>
    <col min="34" max="35" width="14.375" style="60" hidden="1" customWidth="1"/>
    <col min="36" max="38" width="9" style="43" hidden="1" customWidth="1"/>
    <col min="39" max="39" width="12.6333333333333" style="43" hidden="1" customWidth="1"/>
    <col min="40" max="16384" width="9" style="43"/>
  </cols>
  <sheetData>
    <row r="1" s="43" customFormat="1" ht="18" spans="1:39">
      <c r="A1" s="63" t="s">
        <v>0</v>
      </c>
      <c r="B1" s="63"/>
      <c r="C1" s="60"/>
      <c r="D1" s="61"/>
      <c r="K1" s="61"/>
      <c r="L1" s="61"/>
      <c r="M1" s="62"/>
      <c r="AH1" s="60"/>
      <c r="AI1" s="60"/>
      <c r="AL1" s="43" t="s">
        <v>1</v>
      </c>
      <c r="AM1" s="43">
        <v>1</v>
      </c>
    </row>
    <row r="2" s="43" customFormat="1" ht="27.75" spans="1:36">
      <c r="A2" s="64" t="s">
        <v>2</v>
      </c>
      <c r="B2" s="64"/>
      <c r="C2" s="65"/>
      <c r="D2" s="65"/>
      <c r="E2" s="64"/>
      <c r="F2" s="64"/>
      <c r="G2" s="64"/>
      <c r="H2" s="64"/>
      <c r="I2" s="64"/>
      <c r="J2" s="64"/>
      <c r="K2" s="65"/>
      <c r="L2" s="65"/>
      <c r="M2" s="71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5"/>
      <c r="AI2" s="65"/>
      <c r="AJ2" s="64"/>
    </row>
    <row r="3" s="44" customFormat="1" ht="18" spans="1:37">
      <c r="A3" s="66" t="s">
        <v>3</v>
      </c>
      <c r="B3" s="67" t="s">
        <v>4</v>
      </c>
      <c r="C3" s="67" t="s">
        <v>5</v>
      </c>
      <c r="D3" s="67" t="s">
        <v>6</v>
      </c>
      <c r="E3" s="67" t="s">
        <v>6</v>
      </c>
      <c r="F3" s="67"/>
      <c r="G3" s="67"/>
      <c r="H3" s="67"/>
      <c r="I3" s="67"/>
      <c r="J3" s="67"/>
      <c r="K3" s="67" t="s">
        <v>7</v>
      </c>
      <c r="L3" s="67" t="s">
        <v>8</v>
      </c>
      <c r="M3" s="67" t="s">
        <v>9</v>
      </c>
      <c r="N3" s="67" t="s">
        <v>10</v>
      </c>
      <c r="O3" s="67"/>
      <c r="P3" s="67"/>
      <c r="Q3" s="67" t="s">
        <v>11</v>
      </c>
      <c r="R3" s="67"/>
      <c r="S3" s="67"/>
      <c r="T3" s="67"/>
      <c r="U3" s="67"/>
      <c r="V3" s="67" t="s">
        <v>12</v>
      </c>
      <c r="W3" s="67"/>
      <c r="X3" s="67"/>
      <c r="Y3" s="67"/>
      <c r="Z3" s="67"/>
      <c r="AA3" s="67" t="s">
        <v>13</v>
      </c>
      <c r="AB3" s="67" t="s">
        <v>14</v>
      </c>
      <c r="AC3" s="67" t="s">
        <v>15</v>
      </c>
      <c r="AD3" s="67" t="s">
        <v>16</v>
      </c>
      <c r="AE3" s="67" t="s">
        <v>17</v>
      </c>
      <c r="AF3" s="67" t="s">
        <v>18</v>
      </c>
      <c r="AG3" s="67" t="s">
        <v>19</v>
      </c>
      <c r="AH3" s="78" t="s">
        <v>20</v>
      </c>
      <c r="AI3" s="78" t="s">
        <v>21</v>
      </c>
      <c r="AJ3" s="79" t="s">
        <v>22</v>
      </c>
      <c r="AK3" s="92"/>
    </row>
    <row r="4" s="44" customFormat="1" ht="85" customHeight="1" spans="1:37">
      <c r="A4" s="66"/>
      <c r="B4" s="67"/>
      <c r="C4" s="67"/>
      <c r="D4" s="67"/>
      <c r="E4" s="67" t="s">
        <v>23</v>
      </c>
      <c r="F4" s="67" t="s">
        <v>24</v>
      </c>
      <c r="G4" s="67" t="s">
        <v>25</v>
      </c>
      <c r="H4" s="67" t="s">
        <v>26</v>
      </c>
      <c r="I4" s="67" t="s">
        <v>27</v>
      </c>
      <c r="J4" s="67" t="s">
        <v>28</v>
      </c>
      <c r="K4" s="67"/>
      <c r="L4" s="67"/>
      <c r="M4" s="67"/>
      <c r="N4" s="67" t="s">
        <v>29</v>
      </c>
      <c r="O4" s="67" t="s">
        <v>30</v>
      </c>
      <c r="P4" s="67" t="s">
        <v>31</v>
      </c>
      <c r="Q4" s="67" t="s">
        <v>32</v>
      </c>
      <c r="R4" s="67" t="s">
        <v>33</v>
      </c>
      <c r="S4" s="67" t="s">
        <v>34</v>
      </c>
      <c r="T4" s="67" t="s">
        <v>35</v>
      </c>
      <c r="U4" s="67" t="s">
        <v>36</v>
      </c>
      <c r="V4" s="67" t="s">
        <v>37</v>
      </c>
      <c r="W4" s="67" t="s">
        <v>38</v>
      </c>
      <c r="X4" s="67" t="s">
        <v>39</v>
      </c>
      <c r="Y4" s="67" t="s">
        <v>40</v>
      </c>
      <c r="Z4" s="67" t="s">
        <v>41</v>
      </c>
      <c r="AA4" s="67"/>
      <c r="AB4" s="67"/>
      <c r="AC4" s="67"/>
      <c r="AD4" s="67"/>
      <c r="AE4" s="67"/>
      <c r="AF4" s="67"/>
      <c r="AG4" s="67"/>
      <c r="AH4" s="78"/>
      <c r="AI4" s="78"/>
      <c r="AJ4" s="80"/>
      <c r="AK4" s="92"/>
    </row>
    <row r="5" s="45" customFormat="1" ht="18" spans="1:39">
      <c r="A5" s="38"/>
      <c r="B5" s="68" t="s">
        <v>42</v>
      </c>
      <c r="C5" s="68">
        <f>C6+C49+C70+C93+C130+C165+C201+C229+C257</f>
        <v>167</v>
      </c>
      <c r="D5" s="68">
        <f>D6+D49+D70+D93+D130+D165+D201+D229+D257</f>
        <v>0</v>
      </c>
      <c r="E5" s="68">
        <f t="shared" ref="E5:AG5" si="0">E6+E49+E70+E93+E130+E165+E201+E229+E257</f>
        <v>37</v>
      </c>
      <c r="F5" s="68">
        <f t="shared" si="0"/>
        <v>78</v>
      </c>
      <c r="G5" s="68">
        <f t="shared" si="0"/>
        <v>11</v>
      </c>
      <c r="H5" s="68">
        <f t="shared" si="0"/>
        <v>31</v>
      </c>
      <c r="I5" s="68">
        <f t="shared" si="0"/>
        <v>9</v>
      </c>
      <c r="J5" s="68">
        <f t="shared" si="0"/>
        <v>1</v>
      </c>
      <c r="K5" s="68">
        <f t="shared" si="0"/>
        <v>356361.475</v>
      </c>
      <c r="L5" s="68">
        <f t="shared" si="0"/>
        <v>0</v>
      </c>
      <c r="M5" s="68">
        <f t="shared" si="0"/>
        <v>0</v>
      </c>
      <c r="N5" s="68">
        <f t="shared" si="0"/>
        <v>322464.48</v>
      </c>
      <c r="O5" s="68">
        <f t="shared" si="0"/>
        <v>59760.97</v>
      </c>
      <c r="P5" s="68">
        <f t="shared" si="0"/>
        <v>28137.07</v>
      </c>
      <c r="Q5" s="68">
        <f t="shared" si="0"/>
        <v>351537.94</v>
      </c>
      <c r="R5" s="68">
        <f t="shared" si="0"/>
        <v>1044</v>
      </c>
      <c r="S5" s="68">
        <f t="shared" si="0"/>
        <v>15420</v>
      </c>
      <c r="T5" s="68">
        <f t="shared" si="0"/>
        <v>486</v>
      </c>
      <c r="U5" s="68">
        <f t="shared" si="0"/>
        <v>15464</v>
      </c>
      <c r="V5" s="68">
        <f t="shared" si="0"/>
        <v>87925.04</v>
      </c>
      <c r="W5" s="68">
        <f t="shared" si="0"/>
        <v>48715.54</v>
      </c>
      <c r="X5" s="68">
        <f t="shared" si="0"/>
        <v>2520</v>
      </c>
      <c r="Y5" s="68">
        <f t="shared" si="0"/>
        <v>32598.85</v>
      </c>
      <c r="Z5" s="68">
        <f t="shared" si="0"/>
        <v>3984.2</v>
      </c>
      <c r="AA5" s="68">
        <f t="shared" si="0"/>
        <v>0</v>
      </c>
      <c r="AB5" s="68">
        <f t="shared" si="0"/>
        <v>0</v>
      </c>
      <c r="AC5" s="68">
        <f t="shared" si="0"/>
        <v>0</v>
      </c>
      <c r="AD5" s="68">
        <f t="shared" si="0"/>
        <v>0</v>
      </c>
      <c r="AE5" s="68">
        <f t="shared" si="0"/>
        <v>440</v>
      </c>
      <c r="AF5" s="68">
        <f t="shared" si="0"/>
        <v>33400</v>
      </c>
      <c r="AG5" s="68">
        <f t="shared" si="0"/>
        <v>33401</v>
      </c>
      <c r="AH5" s="81" t="e">
        <f>AH6+AH49+AH70+AH93+AH130+AH165+AH201+AH229+AH257+#REF!</f>
        <v>#REF!</v>
      </c>
      <c r="AI5" s="81" t="e">
        <f>AI6+AI49+AI70+AI93+AI130+AI165+AI201+AI229+AI257+#REF!</f>
        <v>#REF!</v>
      </c>
      <c r="AJ5" s="81" t="e">
        <f>AJ6+AJ49+AJ70+AJ93+AJ130+AJ165+AJ201+AJ229+AJ257+#REF!</f>
        <v>#REF!</v>
      </c>
      <c r="AK5" s="81" t="e">
        <f>AK6+AK49+AK70+AK93+AK130+AK165+AK201+AK229+AK257+#REF!</f>
        <v>#REF!</v>
      </c>
      <c r="AL5" s="81" t="e">
        <f>AL6+AL49+AL70+AL93+AL130+AL165+AL201+AL229+AL257+#REF!</f>
        <v>#REF!</v>
      </c>
      <c r="AM5" s="81" t="e">
        <f>AM6+AM49+AM70+AM93+AM130+AM165+AM201+AM229+AM257+#REF!</f>
        <v>#REF!</v>
      </c>
    </row>
    <row r="6" s="46" customFormat="1" ht="18" spans="1:39">
      <c r="A6" s="38"/>
      <c r="B6" s="68" t="s">
        <v>43</v>
      </c>
      <c r="C6" s="68">
        <f t="shared" ref="C6:AG6" si="1">C7+C9+C12+C22+C26+C29+C14+C19+C31+C34+C37+C40+C47</f>
        <v>29</v>
      </c>
      <c r="D6" s="68">
        <f t="shared" si="1"/>
        <v>0</v>
      </c>
      <c r="E6" s="68">
        <f t="shared" si="1"/>
        <v>3</v>
      </c>
      <c r="F6" s="68">
        <f t="shared" si="1"/>
        <v>11</v>
      </c>
      <c r="G6" s="68">
        <f t="shared" si="1"/>
        <v>0</v>
      </c>
      <c r="H6" s="68">
        <f t="shared" si="1"/>
        <v>10</v>
      </c>
      <c r="I6" s="68">
        <f t="shared" si="1"/>
        <v>4</v>
      </c>
      <c r="J6" s="68">
        <f t="shared" si="1"/>
        <v>1</v>
      </c>
      <c r="K6" s="68">
        <f t="shared" si="1"/>
        <v>75395.595</v>
      </c>
      <c r="L6" s="68">
        <f t="shared" si="1"/>
        <v>0</v>
      </c>
      <c r="M6" s="72">
        <f t="shared" si="1"/>
        <v>0</v>
      </c>
      <c r="N6" s="68">
        <f t="shared" si="1"/>
        <v>84979.7</v>
      </c>
      <c r="O6" s="68">
        <f t="shared" si="1"/>
        <v>23126.62</v>
      </c>
      <c r="P6" s="68">
        <f t="shared" si="1"/>
        <v>5305.69</v>
      </c>
      <c r="Q6" s="68">
        <f t="shared" si="1"/>
        <v>88416.88</v>
      </c>
      <c r="R6" s="68">
        <f t="shared" si="1"/>
        <v>231</v>
      </c>
      <c r="S6" s="68">
        <f t="shared" si="1"/>
        <v>5490</v>
      </c>
      <c r="T6" s="68">
        <f t="shared" si="1"/>
        <v>48</v>
      </c>
      <c r="U6" s="68">
        <f t="shared" si="1"/>
        <v>1440</v>
      </c>
      <c r="V6" s="68">
        <f t="shared" si="1"/>
        <v>28429.31</v>
      </c>
      <c r="W6" s="68">
        <f t="shared" si="1"/>
        <v>7819</v>
      </c>
      <c r="X6" s="68">
        <f t="shared" si="1"/>
        <v>2520</v>
      </c>
      <c r="Y6" s="68">
        <f t="shared" si="1"/>
        <v>17090.21</v>
      </c>
      <c r="Z6" s="68">
        <f t="shared" si="1"/>
        <v>1000</v>
      </c>
      <c r="AA6" s="68">
        <f t="shared" si="1"/>
        <v>0</v>
      </c>
      <c r="AB6" s="68">
        <f t="shared" si="1"/>
        <v>0</v>
      </c>
      <c r="AC6" s="68">
        <f t="shared" si="1"/>
        <v>0</v>
      </c>
      <c r="AD6" s="68">
        <f t="shared" si="1"/>
        <v>0</v>
      </c>
      <c r="AE6" s="68">
        <f t="shared" si="1"/>
        <v>0</v>
      </c>
      <c r="AF6" s="68">
        <f t="shared" si="1"/>
        <v>6760</v>
      </c>
      <c r="AG6" s="68">
        <f t="shared" si="1"/>
        <v>6760</v>
      </c>
      <c r="AH6" s="81">
        <f t="shared" ref="AH6:AO6" si="2">AH7+AH9+AH12+AH22+AH26+AH29+AH14+AH19+AH31+AH34+AH37+AH40+AH47</f>
        <v>45323</v>
      </c>
      <c r="AI6" s="81">
        <f t="shared" si="2"/>
        <v>45717</v>
      </c>
      <c r="AJ6" s="81">
        <f t="shared" si="2"/>
        <v>0</v>
      </c>
      <c r="AK6" s="81">
        <f t="shared" si="2"/>
        <v>0</v>
      </c>
      <c r="AL6" s="81">
        <f t="shared" si="2"/>
        <v>0</v>
      </c>
      <c r="AM6" s="81">
        <f t="shared" si="2"/>
        <v>0</v>
      </c>
    </row>
    <row r="7" s="47" customFormat="1" ht="18" spans="1:39">
      <c r="A7" s="68" t="s">
        <v>44</v>
      </c>
      <c r="B7" s="68" t="s">
        <v>45</v>
      </c>
      <c r="C7" s="68">
        <v>1</v>
      </c>
      <c r="D7" s="68"/>
      <c r="E7" s="68">
        <f t="shared" ref="E7:Z7" si="3">SUM(E8)</f>
        <v>0</v>
      </c>
      <c r="F7" s="68">
        <f t="shared" si="3"/>
        <v>0</v>
      </c>
      <c r="G7" s="68">
        <f t="shared" si="3"/>
        <v>0</v>
      </c>
      <c r="H7" s="68">
        <f t="shared" si="3"/>
        <v>0</v>
      </c>
      <c r="I7" s="68">
        <f t="shared" si="3"/>
        <v>1</v>
      </c>
      <c r="J7" s="68">
        <f t="shared" si="3"/>
        <v>0</v>
      </c>
      <c r="K7" s="68">
        <f t="shared" si="3"/>
        <v>2960.9</v>
      </c>
      <c r="L7" s="68">
        <f t="shared" si="3"/>
        <v>0</v>
      </c>
      <c r="M7" s="72">
        <f t="shared" si="3"/>
        <v>0</v>
      </c>
      <c r="N7" s="68">
        <f t="shared" si="3"/>
        <v>4600</v>
      </c>
      <c r="O7" s="68">
        <f t="shared" si="3"/>
        <v>3000</v>
      </c>
      <c r="P7" s="68">
        <f t="shared" si="3"/>
        <v>0</v>
      </c>
      <c r="Q7" s="68">
        <f t="shared" si="3"/>
        <v>4600</v>
      </c>
      <c r="R7" s="68">
        <f t="shared" si="3"/>
        <v>6</v>
      </c>
      <c r="S7" s="68">
        <f t="shared" si="3"/>
        <v>180</v>
      </c>
      <c r="T7" s="68">
        <f t="shared" si="3"/>
        <v>0</v>
      </c>
      <c r="U7" s="68">
        <f t="shared" si="3"/>
        <v>0</v>
      </c>
      <c r="V7" s="68">
        <f t="shared" si="3"/>
        <v>3000</v>
      </c>
      <c r="W7" s="68">
        <f t="shared" si="3"/>
        <v>500</v>
      </c>
      <c r="X7" s="68">
        <f t="shared" si="3"/>
        <v>2500</v>
      </c>
      <c r="Y7" s="68">
        <f t="shared" si="3"/>
        <v>0</v>
      </c>
      <c r="Z7" s="68">
        <f t="shared" si="3"/>
        <v>0</v>
      </c>
      <c r="AA7" s="68"/>
      <c r="AB7" s="68"/>
      <c r="AC7" s="68"/>
      <c r="AD7" s="68"/>
      <c r="AE7" s="68"/>
      <c r="AF7" s="68">
        <f>SUM(AF8)</f>
        <v>500</v>
      </c>
      <c r="AG7" s="68">
        <f>SUM(AG8)</f>
        <v>500</v>
      </c>
      <c r="AH7" s="81">
        <f t="shared" ref="AH7:AO7" si="4">SUM(AH8)</f>
        <v>45323</v>
      </c>
      <c r="AI7" s="81">
        <f t="shared" si="4"/>
        <v>45717</v>
      </c>
      <c r="AJ7" s="81">
        <f t="shared" si="4"/>
        <v>0</v>
      </c>
      <c r="AK7" s="81">
        <f t="shared" si="4"/>
        <v>0</v>
      </c>
      <c r="AL7" s="81">
        <f t="shared" si="4"/>
        <v>0</v>
      </c>
      <c r="AM7" s="81">
        <f t="shared" si="4"/>
        <v>0</v>
      </c>
    </row>
    <row r="8" s="47" customFormat="1" ht="34" customHeight="1" spans="1:36">
      <c r="A8" s="38">
        <v>1</v>
      </c>
      <c r="B8" s="38" t="s">
        <v>46</v>
      </c>
      <c r="C8" s="38" t="s">
        <v>47</v>
      </c>
      <c r="D8" s="38" t="s">
        <v>27</v>
      </c>
      <c r="E8" s="38"/>
      <c r="F8" s="38"/>
      <c r="G8" s="38"/>
      <c r="H8" s="38"/>
      <c r="I8" s="38">
        <v>1</v>
      </c>
      <c r="J8" s="38"/>
      <c r="K8" s="38">
        <v>2960.9</v>
      </c>
      <c r="L8" s="38" t="s">
        <v>48</v>
      </c>
      <c r="M8" s="73" t="s">
        <v>49</v>
      </c>
      <c r="N8" s="38">
        <v>4600</v>
      </c>
      <c r="O8" s="38">
        <v>3000</v>
      </c>
      <c r="P8" s="38"/>
      <c r="Q8" s="38">
        <v>4600</v>
      </c>
      <c r="R8" s="38">
        <v>6</v>
      </c>
      <c r="S8" s="38">
        <v>180</v>
      </c>
      <c r="T8" s="38"/>
      <c r="U8" s="38"/>
      <c r="V8" s="38">
        <v>3000</v>
      </c>
      <c r="W8" s="38">
        <v>500</v>
      </c>
      <c r="X8" s="38">
        <v>2500</v>
      </c>
      <c r="Y8" s="38"/>
      <c r="Z8" s="38"/>
      <c r="AA8" s="38">
        <f>[1]参数!$B$1</f>
        <v>0.28</v>
      </c>
      <c r="AB8" s="38">
        <f>[1]参数!$B$2</f>
        <v>1</v>
      </c>
      <c r="AC8" s="38">
        <f t="shared" ref="AC8:AC11" si="5">IF(R8&gt;=12,3200,IF(R8&gt;=9,2500,IF(R8&gt;=6,1800,1200)))</f>
        <v>1800</v>
      </c>
      <c r="AD8" s="38">
        <f>ROUND(MIN(Q8,AC8),0)</f>
        <v>1800</v>
      </c>
      <c r="AE8" s="38">
        <f t="shared" ref="AE8:AE11" si="6">AA8*AB8*AD8</f>
        <v>504</v>
      </c>
      <c r="AF8" s="38">
        <f>ROUND(MIN(AE8,W8),0)</f>
        <v>500</v>
      </c>
      <c r="AG8" s="38">
        <f>ROUND((AF8*$AM$1),0)</f>
        <v>500</v>
      </c>
      <c r="AH8" s="82">
        <v>45323</v>
      </c>
      <c r="AI8" s="82">
        <v>45717</v>
      </c>
      <c r="AJ8" s="83"/>
    </row>
    <row r="9" s="48" customFormat="1" ht="34" customHeight="1" spans="1:36">
      <c r="A9" s="68" t="s">
        <v>50</v>
      </c>
      <c r="B9" s="68" t="s">
        <v>51</v>
      </c>
      <c r="C9" s="68">
        <v>2</v>
      </c>
      <c r="D9" s="68"/>
      <c r="E9" s="68">
        <f t="shared" ref="E9:Z9" si="7">SUM(E10:E11)</f>
        <v>0</v>
      </c>
      <c r="F9" s="68">
        <f t="shared" si="7"/>
        <v>0</v>
      </c>
      <c r="G9" s="68">
        <f t="shared" si="7"/>
        <v>0</v>
      </c>
      <c r="H9" s="68">
        <f t="shared" si="7"/>
        <v>2</v>
      </c>
      <c r="I9" s="68">
        <f t="shared" si="7"/>
        <v>0</v>
      </c>
      <c r="J9" s="68">
        <f t="shared" si="7"/>
        <v>0</v>
      </c>
      <c r="K9" s="68">
        <f t="shared" si="7"/>
        <v>9316.31</v>
      </c>
      <c r="L9" s="68">
        <f t="shared" si="7"/>
        <v>0</v>
      </c>
      <c r="M9" s="72">
        <f t="shared" si="7"/>
        <v>0</v>
      </c>
      <c r="N9" s="68">
        <f t="shared" si="7"/>
        <v>8422</v>
      </c>
      <c r="O9" s="68">
        <f t="shared" si="7"/>
        <v>1300</v>
      </c>
      <c r="P9" s="68">
        <f t="shared" si="7"/>
        <v>600</v>
      </c>
      <c r="Q9" s="68">
        <f t="shared" si="7"/>
        <v>8422.18</v>
      </c>
      <c r="R9" s="68">
        <f t="shared" si="7"/>
        <v>24</v>
      </c>
      <c r="S9" s="68">
        <f t="shared" si="7"/>
        <v>720</v>
      </c>
      <c r="T9" s="68">
        <f t="shared" si="7"/>
        <v>0</v>
      </c>
      <c r="U9" s="68">
        <f t="shared" si="7"/>
        <v>0</v>
      </c>
      <c r="V9" s="68">
        <f t="shared" si="7"/>
        <v>1900</v>
      </c>
      <c r="W9" s="68">
        <f t="shared" si="7"/>
        <v>570</v>
      </c>
      <c r="X9" s="68">
        <f t="shared" si="7"/>
        <v>0</v>
      </c>
      <c r="Y9" s="68">
        <f t="shared" si="7"/>
        <v>1330</v>
      </c>
      <c r="Z9" s="68">
        <f t="shared" si="7"/>
        <v>0</v>
      </c>
      <c r="AA9" s="68"/>
      <c r="AB9" s="68"/>
      <c r="AC9" s="68"/>
      <c r="AD9" s="68"/>
      <c r="AE9" s="68"/>
      <c r="AF9" s="68">
        <f>SUM(AF10:AF11)</f>
        <v>570</v>
      </c>
      <c r="AG9" s="68">
        <f>SUM(AG10:AG11)</f>
        <v>570</v>
      </c>
      <c r="AH9" s="81"/>
      <c r="AI9" s="81"/>
      <c r="AJ9" s="84"/>
    </row>
    <row r="10" s="48" customFormat="1" ht="36" customHeight="1" spans="1:36">
      <c r="A10" s="38">
        <v>1</v>
      </c>
      <c r="B10" s="38" t="s">
        <v>51</v>
      </c>
      <c r="C10" s="38" t="s">
        <v>52</v>
      </c>
      <c r="D10" s="38" t="s">
        <v>26</v>
      </c>
      <c r="E10" s="38"/>
      <c r="F10" s="38"/>
      <c r="G10" s="38"/>
      <c r="H10" s="38">
        <v>1</v>
      </c>
      <c r="I10" s="38"/>
      <c r="J10" s="38"/>
      <c r="K10" s="38">
        <v>4276</v>
      </c>
      <c r="L10" s="38" t="s">
        <v>53</v>
      </c>
      <c r="M10" s="73" t="s">
        <v>54</v>
      </c>
      <c r="N10" s="38">
        <v>3503</v>
      </c>
      <c r="O10" s="38">
        <v>500</v>
      </c>
      <c r="P10" s="38">
        <v>300</v>
      </c>
      <c r="Q10" s="38">
        <v>3503.18</v>
      </c>
      <c r="R10" s="38">
        <v>12</v>
      </c>
      <c r="S10" s="38">
        <v>360</v>
      </c>
      <c r="T10" s="38"/>
      <c r="U10" s="38"/>
      <c r="V10" s="38">
        <v>800</v>
      </c>
      <c r="W10" s="38">
        <v>240</v>
      </c>
      <c r="X10" s="38">
        <v>0</v>
      </c>
      <c r="Y10" s="38">
        <v>560</v>
      </c>
      <c r="Z10" s="38">
        <v>0</v>
      </c>
      <c r="AA10" s="38">
        <f>[1]参数!$B$1</f>
        <v>0.28</v>
      </c>
      <c r="AB10" s="38">
        <f>[1]参数!$B$4</f>
        <v>0.4</v>
      </c>
      <c r="AC10" s="38">
        <f t="shared" si="5"/>
        <v>3200</v>
      </c>
      <c r="AD10" s="38">
        <f t="shared" ref="AD10:AD13" si="8">ROUND(MIN(N10,AC10),0)</f>
        <v>3200</v>
      </c>
      <c r="AE10" s="38">
        <f t="shared" si="6"/>
        <v>358.4</v>
      </c>
      <c r="AF10" s="38">
        <f t="shared" ref="AF10:AF13" si="9">ROUND(MIN(W10,AE10),0)</f>
        <v>240</v>
      </c>
      <c r="AG10" s="38">
        <f>ROUND((AF10*$AM$1),0)</f>
        <v>240</v>
      </c>
      <c r="AH10" s="82">
        <v>45444</v>
      </c>
      <c r="AI10" s="82">
        <v>45992</v>
      </c>
      <c r="AJ10" s="83" t="s">
        <v>55</v>
      </c>
    </row>
    <row r="11" s="48" customFormat="1" ht="24" customHeight="1" spans="1:36">
      <c r="A11" s="38">
        <v>2</v>
      </c>
      <c r="B11" s="38" t="s">
        <v>51</v>
      </c>
      <c r="C11" s="38" t="s">
        <v>56</v>
      </c>
      <c r="D11" s="38" t="s">
        <v>26</v>
      </c>
      <c r="E11" s="38"/>
      <c r="F11" s="38"/>
      <c r="G11" s="38"/>
      <c r="H11" s="38">
        <v>1</v>
      </c>
      <c r="I11" s="38"/>
      <c r="J11" s="38"/>
      <c r="K11" s="38">
        <v>5040.31</v>
      </c>
      <c r="L11" s="38" t="s">
        <v>57</v>
      </c>
      <c r="M11" s="73" t="s">
        <v>54</v>
      </c>
      <c r="N11" s="38">
        <v>4919</v>
      </c>
      <c r="O11" s="38">
        <v>800</v>
      </c>
      <c r="P11" s="38">
        <v>300</v>
      </c>
      <c r="Q11" s="38">
        <v>4919</v>
      </c>
      <c r="R11" s="38">
        <v>12</v>
      </c>
      <c r="S11" s="38">
        <v>360</v>
      </c>
      <c r="T11" s="38"/>
      <c r="U11" s="38"/>
      <c r="V11" s="38">
        <v>1100</v>
      </c>
      <c r="W11" s="38">
        <v>330</v>
      </c>
      <c r="X11" s="38">
        <v>0</v>
      </c>
      <c r="Y11" s="38">
        <v>770</v>
      </c>
      <c r="Z11" s="38">
        <v>0</v>
      </c>
      <c r="AA11" s="38">
        <f>[1]参数!$B$1</f>
        <v>0.28</v>
      </c>
      <c r="AB11" s="38">
        <f>[1]参数!$B$4</f>
        <v>0.4</v>
      </c>
      <c r="AC11" s="38">
        <f t="shared" si="5"/>
        <v>3200</v>
      </c>
      <c r="AD11" s="38">
        <f t="shared" si="8"/>
        <v>3200</v>
      </c>
      <c r="AE11" s="38">
        <f t="shared" si="6"/>
        <v>358.4</v>
      </c>
      <c r="AF11" s="38">
        <f t="shared" si="9"/>
        <v>330</v>
      </c>
      <c r="AG11" s="38">
        <f>ROUND((AF11*$AM$1),0)</f>
        <v>330</v>
      </c>
      <c r="AH11" s="82">
        <v>45444</v>
      </c>
      <c r="AI11" s="82">
        <v>45992</v>
      </c>
      <c r="AJ11" s="83" t="s">
        <v>58</v>
      </c>
    </row>
    <row r="12" s="49" customFormat="1" ht="24" customHeight="1" spans="1:36">
      <c r="A12" s="68" t="s">
        <v>59</v>
      </c>
      <c r="B12" s="68" t="s">
        <v>60</v>
      </c>
      <c r="C12" s="68">
        <v>1</v>
      </c>
      <c r="D12" s="68"/>
      <c r="E12" s="68">
        <f t="shared" ref="E12:Z12" si="10">SUM(E13)</f>
        <v>0</v>
      </c>
      <c r="F12" s="68">
        <f t="shared" si="10"/>
        <v>0</v>
      </c>
      <c r="G12" s="68">
        <f t="shared" si="10"/>
        <v>0</v>
      </c>
      <c r="H12" s="68">
        <f t="shared" si="10"/>
        <v>1</v>
      </c>
      <c r="I12" s="68">
        <f t="shared" si="10"/>
        <v>0</v>
      </c>
      <c r="J12" s="68">
        <f t="shared" si="10"/>
        <v>0</v>
      </c>
      <c r="K12" s="68">
        <f t="shared" si="10"/>
        <v>6154.06</v>
      </c>
      <c r="L12" s="68">
        <f t="shared" si="10"/>
        <v>0</v>
      </c>
      <c r="M12" s="72">
        <f t="shared" si="10"/>
        <v>0</v>
      </c>
      <c r="N12" s="68">
        <f t="shared" si="10"/>
        <v>5929.3</v>
      </c>
      <c r="O12" s="68">
        <f t="shared" si="10"/>
        <v>1500</v>
      </c>
      <c r="P12" s="68">
        <f t="shared" si="10"/>
        <v>0</v>
      </c>
      <c r="Q12" s="68">
        <f t="shared" si="10"/>
        <v>5929.3</v>
      </c>
      <c r="R12" s="68">
        <f t="shared" si="10"/>
        <v>15</v>
      </c>
      <c r="S12" s="68">
        <f t="shared" si="10"/>
        <v>450</v>
      </c>
      <c r="T12" s="68">
        <f t="shared" si="10"/>
        <v>0</v>
      </c>
      <c r="U12" s="68">
        <f t="shared" si="10"/>
        <v>0</v>
      </c>
      <c r="V12" s="68">
        <f t="shared" si="10"/>
        <v>1500</v>
      </c>
      <c r="W12" s="68">
        <f t="shared" si="10"/>
        <v>1000</v>
      </c>
      <c r="X12" s="68">
        <f t="shared" si="10"/>
        <v>0</v>
      </c>
      <c r="Y12" s="68">
        <f t="shared" si="10"/>
        <v>500</v>
      </c>
      <c r="Z12" s="68">
        <f t="shared" si="10"/>
        <v>0</v>
      </c>
      <c r="AA12" s="68"/>
      <c r="AB12" s="68"/>
      <c r="AC12" s="68"/>
      <c r="AD12" s="68"/>
      <c r="AE12" s="68"/>
      <c r="AF12" s="68">
        <f>SUM(AF13)</f>
        <v>358</v>
      </c>
      <c r="AG12" s="68">
        <f>SUM(AG13)</f>
        <v>358</v>
      </c>
      <c r="AH12" s="81"/>
      <c r="AI12" s="81"/>
      <c r="AJ12" s="84"/>
    </row>
    <row r="13" s="48" customFormat="1" ht="24" customHeight="1" spans="1:36">
      <c r="A13" s="38">
        <v>1</v>
      </c>
      <c r="B13" s="38" t="s">
        <v>61</v>
      </c>
      <c r="C13" s="38" t="s">
        <v>62</v>
      </c>
      <c r="D13" s="38" t="s">
        <v>26</v>
      </c>
      <c r="E13" s="38"/>
      <c r="F13" s="38"/>
      <c r="G13" s="38"/>
      <c r="H13" s="38">
        <v>1</v>
      </c>
      <c r="I13" s="38"/>
      <c r="J13" s="38"/>
      <c r="K13" s="38">
        <v>6154.06</v>
      </c>
      <c r="L13" s="38" t="s">
        <v>63</v>
      </c>
      <c r="M13" s="73" t="s">
        <v>64</v>
      </c>
      <c r="N13" s="38">
        <v>5929.3</v>
      </c>
      <c r="O13" s="38">
        <v>1500</v>
      </c>
      <c r="P13" s="38">
        <v>0</v>
      </c>
      <c r="Q13" s="38">
        <v>5929.3</v>
      </c>
      <c r="R13" s="38">
        <v>15</v>
      </c>
      <c r="S13" s="38">
        <v>450</v>
      </c>
      <c r="T13" s="38"/>
      <c r="U13" s="38"/>
      <c r="V13" s="38">
        <v>1500</v>
      </c>
      <c r="W13" s="38">
        <v>1000</v>
      </c>
      <c r="X13" s="38">
        <v>0</v>
      </c>
      <c r="Y13" s="38">
        <v>500</v>
      </c>
      <c r="Z13" s="38">
        <v>0</v>
      </c>
      <c r="AA13" s="38">
        <f>[1]参数!$B$1</f>
        <v>0.28</v>
      </c>
      <c r="AB13" s="38">
        <f>[1]参数!$B$4</f>
        <v>0.4</v>
      </c>
      <c r="AC13" s="38">
        <f t="shared" ref="AC13:AC18" si="11">IF(R13&gt;=12,3200,IF(R13&gt;=9,2500,IF(R13&gt;=6,1800,1200)))</f>
        <v>3200</v>
      </c>
      <c r="AD13" s="38">
        <f t="shared" si="8"/>
        <v>3200</v>
      </c>
      <c r="AE13" s="38">
        <f t="shared" ref="AE13:AE18" si="12">AA13*AB13*AD13</f>
        <v>358.4</v>
      </c>
      <c r="AF13" s="38">
        <f t="shared" si="9"/>
        <v>358</v>
      </c>
      <c r="AG13" s="38">
        <f>ROUND((AF13*$AM$1),0)</f>
        <v>358</v>
      </c>
      <c r="AH13" s="82">
        <v>45505</v>
      </c>
      <c r="AI13" s="82">
        <v>45717</v>
      </c>
      <c r="AJ13" s="83" t="s">
        <v>65</v>
      </c>
    </row>
    <row r="14" s="45" customFormat="1" ht="24" customHeight="1" spans="1:36">
      <c r="A14" s="68" t="s">
        <v>66</v>
      </c>
      <c r="B14" s="68" t="s">
        <v>67</v>
      </c>
      <c r="C14" s="68">
        <v>4</v>
      </c>
      <c r="D14" s="69"/>
      <c r="E14" s="68">
        <f t="shared" ref="E14:Z14" si="13">SUM(E15:E18)</f>
        <v>0</v>
      </c>
      <c r="F14" s="68">
        <f t="shared" si="13"/>
        <v>2</v>
      </c>
      <c r="G14" s="68">
        <f t="shared" si="13"/>
        <v>0</v>
      </c>
      <c r="H14" s="68">
        <f t="shared" si="13"/>
        <v>1</v>
      </c>
      <c r="I14" s="68">
        <f t="shared" si="13"/>
        <v>0</v>
      </c>
      <c r="J14" s="68">
        <f t="shared" si="13"/>
        <v>1</v>
      </c>
      <c r="K14" s="68">
        <f t="shared" si="13"/>
        <v>8395.22</v>
      </c>
      <c r="L14" s="68">
        <f t="shared" si="13"/>
        <v>0</v>
      </c>
      <c r="M14" s="72">
        <f t="shared" si="13"/>
        <v>0</v>
      </c>
      <c r="N14" s="68">
        <f t="shared" si="13"/>
        <v>7142.38</v>
      </c>
      <c r="O14" s="68">
        <f t="shared" si="13"/>
        <v>990</v>
      </c>
      <c r="P14" s="68">
        <f t="shared" si="13"/>
        <v>882.09</v>
      </c>
      <c r="Q14" s="68">
        <f t="shared" si="13"/>
        <v>7142.38</v>
      </c>
      <c r="R14" s="68">
        <f t="shared" si="13"/>
        <v>24</v>
      </c>
      <c r="S14" s="68">
        <f t="shared" si="13"/>
        <v>720</v>
      </c>
      <c r="T14" s="68">
        <f t="shared" si="13"/>
        <v>0</v>
      </c>
      <c r="U14" s="68">
        <f t="shared" si="13"/>
        <v>0</v>
      </c>
      <c r="V14" s="68">
        <f t="shared" si="13"/>
        <v>1872.09</v>
      </c>
      <c r="W14" s="68">
        <f t="shared" si="13"/>
        <v>775</v>
      </c>
      <c r="X14" s="68">
        <f t="shared" si="13"/>
        <v>0</v>
      </c>
      <c r="Y14" s="68">
        <f t="shared" si="13"/>
        <v>397.09</v>
      </c>
      <c r="Z14" s="68">
        <f t="shared" si="13"/>
        <v>700</v>
      </c>
      <c r="AA14" s="68"/>
      <c r="AB14" s="68"/>
      <c r="AC14" s="68"/>
      <c r="AD14" s="68"/>
      <c r="AE14" s="68"/>
      <c r="AF14" s="68">
        <f>SUM(AF15:AF18)</f>
        <v>727</v>
      </c>
      <c r="AG14" s="68">
        <f>SUM(AG15:AG18)</f>
        <v>727</v>
      </c>
      <c r="AH14" s="81"/>
      <c r="AI14" s="81"/>
      <c r="AJ14" s="84"/>
    </row>
    <row r="15" s="45" customFormat="1" ht="24" customHeight="1" spans="1:36">
      <c r="A15" s="38">
        <v>1</v>
      </c>
      <c r="B15" s="38" t="s">
        <v>68</v>
      </c>
      <c r="C15" s="38" t="s">
        <v>69</v>
      </c>
      <c r="D15" s="38" t="s">
        <v>70</v>
      </c>
      <c r="E15" s="69"/>
      <c r="F15" s="69">
        <v>1</v>
      </c>
      <c r="G15" s="69"/>
      <c r="H15" s="69"/>
      <c r="I15" s="69"/>
      <c r="J15" s="69"/>
      <c r="K15" s="69"/>
      <c r="L15" s="38"/>
      <c r="M15" s="73" t="s">
        <v>71</v>
      </c>
      <c r="N15" s="69"/>
      <c r="O15" s="69"/>
      <c r="P15" s="38">
        <v>61.04</v>
      </c>
      <c r="Q15" s="69"/>
      <c r="R15" s="69"/>
      <c r="S15" s="69"/>
      <c r="T15" s="69"/>
      <c r="U15" s="69"/>
      <c r="V15" s="38">
        <v>61.04</v>
      </c>
      <c r="W15" s="38">
        <v>50</v>
      </c>
      <c r="X15" s="38">
        <v>0</v>
      </c>
      <c r="Y15" s="77">
        <v>11.04</v>
      </c>
      <c r="Z15" s="38">
        <v>0</v>
      </c>
      <c r="AA15" s="69"/>
      <c r="AB15" s="69"/>
      <c r="AC15" s="69"/>
      <c r="AD15" s="69"/>
      <c r="AE15" s="38">
        <f>INT(IF(V15&lt;[1]参数!$F$9,V15*[1]参数!$F$10,[1]参数!$F$9*[1]参数!$F$10+(V15-[1]参数!$F$9)*[1]参数!$G$10))</f>
        <v>51</v>
      </c>
      <c r="AF15" s="38">
        <f t="shared" ref="AF15:AF18" si="14">ROUND(MIN(AE15,W15),0)</f>
        <v>50</v>
      </c>
      <c r="AG15" s="38">
        <f>ROUND((AF15*$AM$1),0)</f>
        <v>50</v>
      </c>
      <c r="AH15" s="82">
        <v>45383</v>
      </c>
      <c r="AI15" s="82">
        <v>45627</v>
      </c>
      <c r="AJ15" s="83" t="s">
        <v>72</v>
      </c>
    </row>
    <row r="16" s="45" customFormat="1" ht="24" customHeight="1" spans="1:36">
      <c r="A16" s="38">
        <v>2</v>
      </c>
      <c r="B16" s="38" t="s">
        <v>73</v>
      </c>
      <c r="C16" s="38" t="s">
        <v>74</v>
      </c>
      <c r="D16" s="38" t="s">
        <v>70</v>
      </c>
      <c r="E16" s="69"/>
      <c r="F16" s="69">
        <v>1</v>
      </c>
      <c r="G16" s="69"/>
      <c r="H16" s="69"/>
      <c r="I16" s="69"/>
      <c r="J16" s="69"/>
      <c r="K16" s="69"/>
      <c r="L16" s="38"/>
      <c r="M16" s="73" t="s">
        <v>75</v>
      </c>
      <c r="N16" s="69"/>
      <c r="O16" s="69"/>
      <c r="P16" s="38">
        <v>61.05</v>
      </c>
      <c r="Q16" s="69"/>
      <c r="R16" s="69"/>
      <c r="S16" s="69"/>
      <c r="T16" s="69"/>
      <c r="U16" s="69"/>
      <c r="V16" s="38">
        <v>61.05</v>
      </c>
      <c r="W16" s="38">
        <v>50</v>
      </c>
      <c r="X16" s="38">
        <v>0</v>
      </c>
      <c r="Y16" s="77">
        <v>11.05</v>
      </c>
      <c r="Z16" s="38">
        <v>0</v>
      </c>
      <c r="AA16" s="69"/>
      <c r="AB16" s="69"/>
      <c r="AC16" s="69"/>
      <c r="AD16" s="69"/>
      <c r="AE16" s="38">
        <f>INT(IF(V16&lt;[1]参数!$F$9,V16*[1]参数!$F$10,[1]参数!$F$9*[1]参数!$F$10+(V16-[1]参数!$F$9)*[1]参数!$G$10))</f>
        <v>51</v>
      </c>
      <c r="AF16" s="38">
        <f t="shared" si="14"/>
        <v>50</v>
      </c>
      <c r="AG16" s="38">
        <f>ROUND((AF16*$AM$1),0)</f>
        <v>50</v>
      </c>
      <c r="AH16" s="82">
        <v>45383</v>
      </c>
      <c r="AI16" s="82">
        <v>45627</v>
      </c>
      <c r="AJ16" s="83" t="s">
        <v>72</v>
      </c>
    </row>
    <row r="17" s="48" customFormat="1" ht="24" customHeight="1" spans="1:36">
      <c r="A17" s="38">
        <v>3</v>
      </c>
      <c r="B17" s="38" t="s">
        <v>68</v>
      </c>
      <c r="C17" s="38" t="s">
        <v>76</v>
      </c>
      <c r="D17" s="38" t="s">
        <v>26</v>
      </c>
      <c r="E17" s="38"/>
      <c r="F17" s="38"/>
      <c r="G17" s="38"/>
      <c r="H17" s="38">
        <v>1</v>
      </c>
      <c r="I17" s="38"/>
      <c r="J17" s="38"/>
      <c r="K17" s="38">
        <v>3795.22</v>
      </c>
      <c r="L17" s="38" t="s">
        <v>77</v>
      </c>
      <c r="M17" s="73" t="s">
        <v>78</v>
      </c>
      <c r="N17" s="38">
        <v>3442.38</v>
      </c>
      <c r="O17" s="38">
        <v>390</v>
      </c>
      <c r="P17" s="38">
        <v>360</v>
      </c>
      <c r="Q17" s="38">
        <v>3442.38</v>
      </c>
      <c r="R17" s="38">
        <v>12</v>
      </c>
      <c r="S17" s="38">
        <v>360</v>
      </c>
      <c r="T17" s="38"/>
      <c r="U17" s="38"/>
      <c r="V17" s="38">
        <v>750</v>
      </c>
      <c r="W17" s="38">
        <v>375</v>
      </c>
      <c r="X17" s="38">
        <v>0</v>
      </c>
      <c r="Y17" s="38">
        <v>375</v>
      </c>
      <c r="Z17" s="38">
        <v>0</v>
      </c>
      <c r="AA17" s="38">
        <f>[1]参数!$B$1</f>
        <v>0.28</v>
      </c>
      <c r="AB17" s="38">
        <f>[1]参数!$B$4</f>
        <v>0.4</v>
      </c>
      <c r="AC17" s="38">
        <f t="shared" si="11"/>
        <v>3200</v>
      </c>
      <c r="AD17" s="38">
        <f>ROUND(MIN(N17,AC17),0)</f>
        <v>3200</v>
      </c>
      <c r="AE17" s="38">
        <f t="shared" si="12"/>
        <v>358.4</v>
      </c>
      <c r="AF17" s="38">
        <f>ROUND(MIN(W17,AE17),0)</f>
        <v>358</v>
      </c>
      <c r="AG17" s="38">
        <f>ROUND((AF17*$AM$1),0)</f>
        <v>358</v>
      </c>
      <c r="AH17" s="82">
        <v>45505</v>
      </c>
      <c r="AI17" s="82">
        <v>45870</v>
      </c>
      <c r="AJ17" s="83" t="s">
        <v>58</v>
      </c>
    </row>
    <row r="18" s="45" customFormat="1" ht="34" customHeight="1" spans="1:36">
      <c r="A18" s="38">
        <v>4</v>
      </c>
      <c r="B18" s="38" t="s">
        <v>79</v>
      </c>
      <c r="C18" s="38" t="s">
        <v>80</v>
      </c>
      <c r="D18" s="38" t="s">
        <v>28</v>
      </c>
      <c r="E18" s="38"/>
      <c r="F18" s="38"/>
      <c r="G18" s="38"/>
      <c r="H18" s="38"/>
      <c r="I18" s="38"/>
      <c r="J18" s="38">
        <v>1</v>
      </c>
      <c r="K18" s="38">
        <v>4600</v>
      </c>
      <c r="L18" s="38" t="s">
        <v>81</v>
      </c>
      <c r="M18" s="73" t="s">
        <v>82</v>
      </c>
      <c r="N18" s="38">
        <v>3700</v>
      </c>
      <c r="O18" s="38">
        <v>600</v>
      </c>
      <c r="P18" s="38">
        <v>400</v>
      </c>
      <c r="Q18" s="38">
        <v>3700</v>
      </c>
      <c r="R18" s="38">
        <v>12</v>
      </c>
      <c r="S18" s="38">
        <v>360</v>
      </c>
      <c r="T18" s="38"/>
      <c r="U18" s="38"/>
      <c r="V18" s="38">
        <v>1000</v>
      </c>
      <c r="W18" s="38">
        <v>300</v>
      </c>
      <c r="X18" s="38">
        <v>0</v>
      </c>
      <c r="Y18" s="38">
        <v>0</v>
      </c>
      <c r="Z18" s="38">
        <v>700</v>
      </c>
      <c r="AA18" s="38">
        <f>[1]参数!$B$1</f>
        <v>0.28</v>
      </c>
      <c r="AB18" s="38">
        <f>[1]参数!$B$5</f>
        <v>0.3</v>
      </c>
      <c r="AC18" s="38">
        <f t="shared" si="11"/>
        <v>3200</v>
      </c>
      <c r="AD18" s="38">
        <f>ROUND(MIN(AC18,N18),0)</f>
        <v>3200</v>
      </c>
      <c r="AE18" s="38">
        <f t="shared" si="12"/>
        <v>268.8</v>
      </c>
      <c r="AF18" s="38">
        <f t="shared" si="14"/>
        <v>269</v>
      </c>
      <c r="AG18" s="38">
        <f>ROUND((AF18*$AM$1),0)</f>
        <v>269</v>
      </c>
      <c r="AH18" s="82">
        <v>45505</v>
      </c>
      <c r="AI18" s="82">
        <v>45870</v>
      </c>
      <c r="AJ18" s="85" t="s">
        <v>58</v>
      </c>
    </row>
    <row r="19" s="45" customFormat="1" ht="18" spans="1:36">
      <c r="A19" s="68" t="s">
        <v>83</v>
      </c>
      <c r="B19" s="68" t="s">
        <v>84</v>
      </c>
      <c r="C19" s="68">
        <v>2</v>
      </c>
      <c r="D19" s="69"/>
      <c r="E19" s="68">
        <f t="shared" ref="E19:Z19" si="15">SUM(E20:E21)</f>
        <v>1</v>
      </c>
      <c r="F19" s="68">
        <f t="shared" si="15"/>
        <v>1</v>
      </c>
      <c r="G19" s="68">
        <f t="shared" si="15"/>
        <v>0</v>
      </c>
      <c r="H19" s="68">
        <f t="shared" si="15"/>
        <v>0</v>
      </c>
      <c r="I19" s="68">
        <f t="shared" si="15"/>
        <v>0</v>
      </c>
      <c r="J19" s="68">
        <f t="shared" si="15"/>
        <v>0</v>
      </c>
      <c r="K19" s="68">
        <f t="shared" si="15"/>
        <v>8167</v>
      </c>
      <c r="L19" s="68">
        <f t="shared" si="15"/>
        <v>0</v>
      </c>
      <c r="M19" s="72">
        <f t="shared" si="15"/>
        <v>0</v>
      </c>
      <c r="N19" s="68">
        <f t="shared" si="15"/>
        <v>7157</v>
      </c>
      <c r="O19" s="68">
        <f t="shared" si="15"/>
        <v>300</v>
      </c>
      <c r="P19" s="68">
        <f t="shared" si="15"/>
        <v>450</v>
      </c>
      <c r="Q19" s="68">
        <f t="shared" si="15"/>
        <v>7157</v>
      </c>
      <c r="R19" s="68">
        <f t="shared" si="15"/>
        <v>24</v>
      </c>
      <c r="S19" s="68">
        <f t="shared" si="15"/>
        <v>0</v>
      </c>
      <c r="T19" s="68">
        <f t="shared" si="15"/>
        <v>24</v>
      </c>
      <c r="U19" s="68">
        <f t="shared" si="15"/>
        <v>720</v>
      </c>
      <c r="V19" s="68">
        <f t="shared" si="15"/>
        <v>750</v>
      </c>
      <c r="W19" s="68">
        <f t="shared" si="15"/>
        <v>650</v>
      </c>
      <c r="X19" s="68">
        <f t="shared" si="15"/>
        <v>0</v>
      </c>
      <c r="Y19" s="68">
        <f t="shared" si="15"/>
        <v>100</v>
      </c>
      <c r="Z19" s="68">
        <f t="shared" si="15"/>
        <v>0</v>
      </c>
      <c r="AA19" s="68"/>
      <c r="AB19" s="68"/>
      <c r="AC19" s="68"/>
      <c r="AD19" s="68"/>
      <c r="AE19" s="68"/>
      <c r="AF19" s="68">
        <f>SUM(AF20:AF21)</f>
        <v>514</v>
      </c>
      <c r="AG19" s="68">
        <f>SUM(AG20:AG21)</f>
        <v>514</v>
      </c>
      <c r="AH19" s="82"/>
      <c r="AI19" s="82"/>
      <c r="AJ19" s="83"/>
    </row>
    <row r="20" s="50" customFormat="1" ht="32" customHeight="1" spans="1:36">
      <c r="A20" s="38">
        <v>1</v>
      </c>
      <c r="B20" s="38" t="s">
        <v>85</v>
      </c>
      <c r="C20" s="38" t="s">
        <v>86</v>
      </c>
      <c r="D20" s="38" t="s">
        <v>87</v>
      </c>
      <c r="E20" s="38">
        <v>1</v>
      </c>
      <c r="F20" s="38"/>
      <c r="G20" s="38"/>
      <c r="H20" s="38"/>
      <c r="I20" s="38"/>
      <c r="J20" s="38"/>
      <c r="K20" s="38">
        <v>8167</v>
      </c>
      <c r="L20" s="38" t="s">
        <v>88</v>
      </c>
      <c r="M20" s="73" t="s">
        <v>89</v>
      </c>
      <c r="N20" s="38">
        <v>7157</v>
      </c>
      <c r="O20" s="38">
        <v>300</v>
      </c>
      <c r="P20" s="38">
        <v>100</v>
      </c>
      <c r="Q20" s="38">
        <v>7157</v>
      </c>
      <c r="R20" s="38">
        <v>24</v>
      </c>
      <c r="S20" s="38"/>
      <c r="T20" s="38">
        <v>24</v>
      </c>
      <c r="U20" s="38">
        <v>720</v>
      </c>
      <c r="V20" s="38">
        <v>400</v>
      </c>
      <c r="W20" s="38">
        <v>350</v>
      </c>
      <c r="X20" s="38"/>
      <c r="Y20" s="38">
        <v>50</v>
      </c>
      <c r="Z20" s="38"/>
      <c r="AA20" s="38">
        <f>[1]参数!$D$1</f>
        <v>0.096</v>
      </c>
      <c r="AB20" s="38"/>
      <c r="AC20" s="38">
        <f>IF((T20)&gt;=12,3200,IF((T20)&gt;=9,2500,IF((T20)&gt;=6,1800,1200)))</f>
        <v>3200</v>
      </c>
      <c r="AD20" s="38">
        <f>ROUND(MIN(AC20,N20),0)</f>
        <v>3200</v>
      </c>
      <c r="AE20" s="38">
        <f>AA20*AD20</f>
        <v>307.2</v>
      </c>
      <c r="AF20" s="38">
        <f t="shared" ref="AF20:AF25" si="16">ROUND(MIN(AE20,W20),0)</f>
        <v>307</v>
      </c>
      <c r="AG20" s="38">
        <f>ROUND((AF20*$AM$1),0)</f>
        <v>307</v>
      </c>
      <c r="AH20" s="82">
        <v>45474</v>
      </c>
      <c r="AI20" s="82">
        <v>45627</v>
      </c>
      <c r="AJ20" s="83" t="s">
        <v>90</v>
      </c>
    </row>
    <row r="21" s="45" customFormat="1" ht="48" customHeight="1" spans="1:36">
      <c r="A21" s="38">
        <v>2</v>
      </c>
      <c r="B21" s="38" t="s">
        <v>84</v>
      </c>
      <c r="C21" s="38" t="s">
        <v>91</v>
      </c>
      <c r="D21" s="38" t="s">
        <v>70</v>
      </c>
      <c r="E21" s="69"/>
      <c r="F21" s="69">
        <v>1</v>
      </c>
      <c r="G21" s="69"/>
      <c r="H21" s="69"/>
      <c r="I21" s="69"/>
      <c r="J21" s="69"/>
      <c r="K21" s="69"/>
      <c r="L21" s="38"/>
      <c r="M21" s="73" t="s">
        <v>92</v>
      </c>
      <c r="N21" s="69"/>
      <c r="O21" s="69"/>
      <c r="P21" s="38">
        <v>350</v>
      </c>
      <c r="Q21" s="69"/>
      <c r="R21" s="69"/>
      <c r="S21" s="69"/>
      <c r="T21" s="69"/>
      <c r="U21" s="69"/>
      <c r="V21" s="38">
        <v>350</v>
      </c>
      <c r="W21" s="38">
        <v>300</v>
      </c>
      <c r="X21" s="38"/>
      <c r="Y21" s="38">
        <v>50</v>
      </c>
      <c r="Z21" s="38"/>
      <c r="AA21" s="69"/>
      <c r="AB21" s="69"/>
      <c r="AC21" s="69"/>
      <c r="AD21" s="69"/>
      <c r="AE21" s="38">
        <f>INT(IF(V21&lt;[1]参数!$F$9,V21*[1]参数!$F$10,[1]参数!$F$9*[1]参数!$F$10+(V21-[1]参数!$F$9)*[1]参数!$G$10))</f>
        <v>207</v>
      </c>
      <c r="AF21" s="38">
        <f t="shared" si="16"/>
        <v>207</v>
      </c>
      <c r="AG21" s="38">
        <f>ROUND((AF21*$AM$1),0)</f>
        <v>207</v>
      </c>
      <c r="AH21" s="82">
        <v>45474</v>
      </c>
      <c r="AI21" s="82">
        <v>45627</v>
      </c>
      <c r="AJ21" s="83" t="s">
        <v>72</v>
      </c>
    </row>
    <row r="22" s="49" customFormat="1" ht="18" spans="1:36">
      <c r="A22" s="68" t="s">
        <v>93</v>
      </c>
      <c r="B22" s="68" t="s">
        <v>94</v>
      </c>
      <c r="C22" s="68">
        <v>3</v>
      </c>
      <c r="D22" s="68"/>
      <c r="E22" s="68">
        <f t="shared" ref="E22:Z22" si="17">SUM(E23:E25)</f>
        <v>0</v>
      </c>
      <c r="F22" s="68">
        <f t="shared" si="17"/>
        <v>0</v>
      </c>
      <c r="G22" s="68">
        <f t="shared" si="17"/>
        <v>0</v>
      </c>
      <c r="H22" s="68">
        <f t="shared" si="17"/>
        <v>2</v>
      </c>
      <c r="I22" s="68">
        <f t="shared" si="17"/>
        <v>1</v>
      </c>
      <c r="J22" s="68">
        <f t="shared" si="17"/>
        <v>0</v>
      </c>
      <c r="K22" s="68">
        <f t="shared" si="17"/>
        <v>12251</v>
      </c>
      <c r="L22" s="68">
        <f t="shared" si="17"/>
        <v>0</v>
      </c>
      <c r="M22" s="72">
        <f t="shared" si="17"/>
        <v>0</v>
      </c>
      <c r="N22" s="68">
        <f t="shared" si="17"/>
        <v>11599</v>
      </c>
      <c r="O22" s="68">
        <f t="shared" si="17"/>
        <v>4706</v>
      </c>
      <c r="P22" s="68">
        <f t="shared" si="17"/>
        <v>0</v>
      </c>
      <c r="Q22" s="68">
        <f t="shared" si="17"/>
        <v>11599</v>
      </c>
      <c r="R22" s="68">
        <f t="shared" si="17"/>
        <v>30</v>
      </c>
      <c r="S22" s="68">
        <f t="shared" si="17"/>
        <v>900</v>
      </c>
      <c r="T22" s="68">
        <f t="shared" si="17"/>
        <v>0</v>
      </c>
      <c r="U22" s="68">
        <f t="shared" si="17"/>
        <v>0</v>
      </c>
      <c r="V22" s="68">
        <f t="shared" si="17"/>
        <v>4703</v>
      </c>
      <c r="W22" s="68">
        <f t="shared" si="17"/>
        <v>936</v>
      </c>
      <c r="X22" s="68">
        <f t="shared" si="17"/>
        <v>0</v>
      </c>
      <c r="Y22" s="68">
        <f t="shared" si="17"/>
        <v>3767</v>
      </c>
      <c r="Z22" s="68">
        <f t="shared" si="17"/>
        <v>0</v>
      </c>
      <c r="AA22" s="68"/>
      <c r="AB22" s="68"/>
      <c r="AC22" s="68"/>
      <c r="AD22" s="68"/>
      <c r="AE22" s="68"/>
      <c r="AF22" s="68">
        <f>SUM(AF23:AF25)</f>
        <v>936</v>
      </c>
      <c r="AG22" s="68">
        <f>SUM(AG23:AG25)</f>
        <v>936</v>
      </c>
      <c r="AH22" s="81"/>
      <c r="AI22" s="81"/>
      <c r="AJ22" s="84"/>
    </row>
    <row r="23" s="48" customFormat="1" ht="37" customHeight="1" spans="1:36">
      <c r="A23" s="38">
        <v>1</v>
      </c>
      <c r="B23" s="38" t="s">
        <v>95</v>
      </c>
      <c r="C23" s="38" t="s">
        <v>96</v>
      </c>
      <c r="D23" s="38" t="s">
        <v>26</v>
      </c>
      <c r="E23" s="38"/>
      <c r="F23" s="38"/>
      <c r="G23" s="38"/>
      <c r="H23" s="38">
        <v>1</v>
      </c>
      <c r="I23" s="38"/>
      <c r="J23" s="38"/>
      <c r="K23" s="38">
        <v>2520</v>
      </c>
      <c r="L23" s="38" t="s">
        <v>97</v>
      </c>
      <c r="M23" s="73" t="s">
        <v>98</v>
      </c>
      <c r="N23" s="38">
        <v>2520</v>
      </c>
      <c r="O23" s="38">
        <v>630</v>
      </c>
      <c r="P23" s="38"/>
      <c r="Q23" s="38">
        <v>2520</v>
      </c>
      <c r="R23" s="38">
        <v>9</v>
      </c>
      <c r="S23" s="38">
        <v>270</v>
      </c>
      <c r="T23" s="38"/>
      <c r="U23" s="38"/>
      <c r="V23" s="38">
        <v>630</v>
      </c>
      <c r="W23" s="38">
        <v>150</v>
      </c>
      <c r="X23" s="38"/>
      <c r="Y23" s="38">
        <v>480</v>
      </c>
      <c r="Z23" s="38"/>
      <c r="AA23" s="38">
        <f>[1]参数!$B$1</f>
        <v>0.28</v>
      </c>
      <c r="AB23" s="38">
        <f>[1]参数!$B$4</f>
        <v>0.4</v>
      </c>
      <c r="AC23" s="38">
        <f t="shared" ref="AC23:AC25" si="18">IF(R23&gt;=12,3200,IF(R23&gt;=9,2500,IF(R23&gt;=6,1800,1200)))</f>
        <v>2500</v>
      </c>
      <c r="AD23" s="38">
        <f t="shared" ref="AD23:AD28" si="19">ROUND(MIN(N23,AC23),0)</f>
        <v>2500</v>
      </c>
      <c r="AE23" s="38">
        <f t="shared" ref="AE23:AE25" si="20">AA23*AB23*AD23</f>
        <v>280</v>
      </c>
      <c r="AF23" s="38">
        <f t="shared" ref="AF23:AF28" si="21">ROUND(MIN(W23,AE23),0)</f>
        <v>150</v>
      </c>
      <c r="AG23" s="38">
        <f>ROUND((AF23*$AM$1),0)</f>
        <v>150</v>
      </c>
      <c r="AH23" s="82">
        <v>45413</v>
      </c>
      <c r="AI23" s="82">
        <v>45778</v>
      </c>
      <c r="AJ23" s="83" t="s">
        <v>99</v>
      </c>
    </row>
    <row r="24" s="48" customFormat="1" ht="37" customHeight="1" spans="1:36">
      <c r="A24" s="38">
        <v>2</v>
      </c>
      <c r="B24" s="38" t="s">
        <v>100</v>
      </c>
      <c r="C24" s="38" t="s">
        <v>101</v>
      </c>
      <c r="D24" s="38" t="s">
        <v>26</v>
      </c>
      <c r="E24" s="38"/>
      <c r="F24" s="38"/>
      <c r="G24" s="38"/>
      <c r="H24" s="38">
        <v>1</v>
      </c>
      <c r="I24" s="38"/>
      <c r="J24" s="38"/>
      <c r="K24" s="38">
        <v>3201</v>
      </c>
      <c r="L24" s="38" t="s">
        <v>102</v>
      </c>
      <c r="M24" s="73" t="s">
        <v>103</v>
      </c>
      <c r="N24" s="38">
        <v>3201</v>
      </c>
      <c r="O24" s="38">
        <v>797</v>
      </c>
      <c r="P24" s="38"/>
      <c r="Q24" s="38">
        <v>3201</v>
      </c>
      <c r="R24" s="38">
        <v>9</v>
      </c>
      <c r="S24" s="38">
        <v>270</v>
      </c>
      <c r="T24" s="38"/>
      <c r="U24" s="38"/>
      <c r="V24" s="38">
        <v>797</v>
      </c>
      <c r="W24" s="38">
        <v>240</v>
      </c>
      <c r="X24" s="38"/>
      <c r="Y24" s="38">
        <v>557</v>
      </c>
      <c r="Z24" s="38"/>
      <c r="AA24" s="38">
        <f>[1]参数!$B$1</f>
        <v>0.28</v>
      </c>
      <c r="AB24" s="38">
        <f>[1]参数!$B$4</f>
        <v>0.4</v>
      </c>
      <c r="AC24" s="38">
        <f t="shared" si="18"/>
        <v>2500</v>
      </c>
      <c r="AD24" s="38">
        <f t="shared" si="19"/>
        <v>2500</v>
      </c>
      <c r="AE24" s="38">
        <f t="shared" si="20"/>
        <v>280</v>
      </c>
      <c r="AF24" s="38">
        <f t="shared" si="21"/>
        <v>240</v>
      </c>
      <c r="AG24" s="38">
        <f>ROUND((AF24*$AM$1),0)</f>
        <v>240</v>
      </c>
      <c r="AH24" s="82">
        <v>45444</v>
      </c>
      <c r="AI24" s="82">
        <v>45809</v>
      </c>
      <c r="AJ24" s="83" t="s">
        <v>58</v>
      </c>
    </row>
    <row r="25" s="47" customFormat="1" ht="25" customHeight="1" spans="1:36">
      <c r="A25" s="38">
        <v>3</v>
      </c>
      <c r="B25" s="38" t="s">
        <v>104</v>
      </c>
      <c r="C25" s="38" t="s">
        <v>105</v>
      </c>
      <c r="D25" s="38" t="s">
        <v>27</v>
      </c>
      <c r="E25" s="38"/>
      <c r="F25" s="38"/>
      <c r="G25" s="38"/>
      <c r="H25" s="38"/>
      <c r="I25" s="38">
        <v>1</v>
      </c>
      <c r="J25" s="38"/>
      <c r="K25" s="38">
        <v>6530</v>
      </c>
      <c r="L25" s="38" t="s">
        <v>106</v>
      </c>
      <c r="M25" s="73" t="s">
        <v>107</v>
      </c>
      <c r="N25" s="38">
        <v>5878</v>
      </c>
      <c r="O25" s="38">
        <v>3279</v>
      </c>
      <c r="P25" s="38"/>
      <c r="Q25" s="38">
        <v>5878</v>
      </c>
      <c r="R25" s="38">
        <v>12</v>
      </c>
      <c r="S25" s="38">
        <v>360</v>
      </c>
      <c r="T25" s="38"/>
      <c r="U25" s="38"/>
      <c r="V25" s="38">
        <v>3276</v>
      </c>
      <c r="W25" s="38">
        <v>546</v>
      </c>
      <c r="X25" s="38"/>
      <c r="Y25" s="38">
        <v>2730</v>
      </c>
      <c r="Z25" s="38"/>
      <c r="AA25" s="38">
        <f>[1]参数!$B$1</f>
        <v>0.28</v>
      </c>
      <c r="AB25" s="38">
        <f>[1]参数!$B$2</f>
        <v>1</v>
      </c>
      <c r="AC25" s="38">
        <f t="shared" si="18"/>
        <v>3200</v>
      </c>
      <c r="AD25" s="38">
        <f>ROUND(MIN(Q25,AC25),0)</f>
        <v>3200</v>
      </c>
      <c r="AE25" s="38">
        <f t="shared" si="20"/>
        <v>896</v>
      </c>
      <c r="AF25" s="38">
        <f t="shared" si="16"/>
        <v>546</v>
      </c>
      <c r="AG25" s="38">
        <f>ROUND((AF25*$AM$1),0)</f>
        <v>546</v>
      </c>
      <c r="AH25" s="82">
        <v>45108</v>
      </c>
      <c r="AI25" s="82">
        <v>45474</v>
      </c>
      <c r="AJ25" s="83" t="s">
        <v>108</v>
      </c>
    </row>
    <row r="26" s="49" customFormat="1" ht="25" customHeight="1" spans="1:36">
      <c r="A26" s="68" t="s">
        <v>109</v>
      </c>
      <c r="B26" s="68" t="s">
        <v>110</v>
      </c>
      <c r="C26" s="68">
        <v>2</v>
      </c>
      <c r="D26" s="68"/>
      <c r="E26" s="68">
        <f t="shared" ref="E26:Z26" si="22">SUM(E27:E28)</f>
        <v>0</v>
      </c>
      <c r="F26" s="68">
        <f t="shared" si="22"/>
        <v>0</v>
      </c>
      <c r="G26" s="68">
        <f t="shared" si="22"/>
        <v>0</v>
      </c>
      <c r="H26" s="68">
        <f t="shared" si="22"/>
        <v>2</v>
      </c>
      <c r="I26" s="68">
        <f t="shared" si="22"/>
        <v>0</v>
      </c>
      <c r="J26" s="68">
        <f t="shared" si="22"/>
        <v>0</v>
      </c>
      <c r="K26" s="68">
        <f t="shared" si="22"/>
        <v>9800</v>
      </c>
      <c r="L26" s="68">
        <f t="shared" si="22"/>
        <v>0</v>
      </c>
      <c r="M26" s="72">
        <f t="shared" si="22"/>
        <v>0</v>
      </c>
      <c r="N26" s="68">
        <f t="shared" si="22"/>
        <v>8403.9</v>
      </c>
      <c r="O26" s="68">
        <f t="shared" si="22"/>
        <v>983</v>
      </c>
      <c r="P26" s="68">
        <f t="shared" si="22"/>
        <v>800</v>
      </c>
      <c r="Q26" s="68">
        <f t="shared" si="22"/>
        <v>8403.9</v>
      </c>
      <c r="R26" s="68">
        <f t="shared" si="22"/>
        <v>21</v>
      </c>
      <c r="S26" s="68">
        <f t="shared" si="22"/>
        <v>630</v>
      </c>
      <c r="T26" s="68">
        <f t="shared" si="22"/>
        <v>0</v>
      </c>
      <c r="U26" s="68">
        <f t="shared" si="22"/>
        <v>0</v>
      </c>
      <c r="V26" s="68">
        <f t="shared" si="22"/>
        <v>1783</v>
      </c>
      <c r="W26" s="68">
        <f t="shared" si="22"/>
        <v>550</v>
      </c>
      <c r="X26" s="68">
        <f t="shared" si="22"/>
        <v>0</v>
      </c>
      <c r="Y26" s="68">
        <f t="shared" si="22"/>
        <v>1233</v>
      </c>
      <c r="Z26" s="68">
        <f t="shared" si="22"/>
        <v>0</v>
      </c>
      <c r="AA26" s="68"/>
      <c r="AB26" s="68"/>
      <c r="AC26" s="68"/>
      <c r="AD26" s="68"/>
      <c r="AE26" s="68"/>
      <c r="AF26" s="68">
        <f>SUM(AF27:AF28)</f>
        <v>550</v>
      </c>
      <c r="AG26" s="68">
        <f>SUM(AG27:AG28)</f>
        <v>550</v>
      </c>
      <c r="AH26" s="81"/>
      <c r="AI26" s="81"/>
      <c r="AJ26" s="84"/>
    </row>
    <row r="27" s="48" customFormat="1" ht="25" customHeight="1" spans="1:36">
      <c r="A27" s="38">
        <v>1</v>
      </c>
      <c r="B27" s="38" t="s">
        <v>111</v>
      </c>
      <c r="C27" s="38" t="s">
        <v>112</v>
      </c>
      <c r="D27" s="38" t="s">
        <v>26</v>
      </c>
      <c r="E27" s="38"/>
      <c r="F27" s="38"/>
      <c r="G27" s="38"/>
      <c r="H27" s="38">
        <v>1</v>
      </c>
      <c r="I27" s="38"/>
      <c r="J27" s="38"/>
      <c r="K27" s="38">
        <v>5600</v>
      </c>
      <c r="L27" s="38" t="s">
        <v>113</v>
      </c>
      <c r="M27" s="73" t="s">
        <v>114</v>
      </c>
      <c r="N27" s="38">
        <v>4503.9</v>
      </c>
      <c r="O27" s="38">
        <v>553</v>
      </c>
      <c r="P27" s="38">
        <v>450</v>
      </c>
      <c r="Q27" s="38">
        <v>4503.9</v>
      </c>
      <c r="R27" s="38">
        <v>12</v>
      </c>
      <c r="S27" s="38">
        <v>360</v>
      </c>
      <c r="T27" s="38"/>
      <c r="U27" s="38"/>
      <c r="V27" s="38">
        <v>1003</v>
      </c>
      <c r="W27" s="38">
        <v>300</v>
      </c>
      <c r="X27" s="38">
        <v>0</v>
      </c>
      <c r="Y27" s="38">
        <v>703</v>
      </c>
      <c r="Z27" s="38">
        <v>0</v>
      </c>
      <c r="AA27" s="38">
        <f>[1]参数!$B$1</f>
        <v>0.28</v>
      </c>
      <c r="AB27" s="38">
        <f>[1]参数!$B$4</f>
        <v>0.4</v>
      </c>
      <c r="AC27" s="38">
        <f>IF(R27&gt;=12,3200,IF(R27&gt;=9,2500,IF(R27&gt;=6,1800,1200)))</f>
        <v>3200</v>
      </c>
      <c r="AD27" s="38">
        <f t="shared" si="19"/>
        <v>3200</v>
      </c>
      <c r="AE27" s="38">
        <f>AA27*AB27*AD27</f>
        <v>358.4</v>
      </c>
      <c r="AF27" s="38">
        <f t="shared" si="21"/>
        <v>300</v>
      </c>
      <c r="AG27" s="38">
        <f>ROUND((AF27*$AM$1),0)</f>
        <v>300</v>
      </c>
      <c r="AH27" s="82">
        <v>45444</v>
      </c>
      <c r="AI27" s="82">
        <v>45536</v>
      </c>
      <c r="AJ27" s="83" t="s">
        <v>58</v>
      </c>
    </row>
    <row r="28" s="48" customFormat="1" ht="25" customHeight="1" spans="1:36">
      <c r="A28" s="38">
        <v>2</v>
      </c>
      <c r="B28" s="38" t="s">
        <v>115</v>
      </c>
      <c r="C28" s="38" t="s">
        <v>116</v>
      </c>
      <c r="D28" s="38" t="s">
        <v>26</v>
      </c>
      <c r="E28" s="38"/>
      <c r="F28" s="38"/>
      <c r="G28" s="38"/>
      <c r="H28" s="38">
        <v>1</v>
      </c>
      <c r="I28" s="38"/>
      <c r="J28" s="38"/>
      <c r="K28" s="38">
        <v>4200</v>
      </c>
      <c r="L28" s="38" t="s">
        <v>117</v>
      </c>
      <c r="M28" s="73" t="s">
        <v>114</v>
      </c>
      <c r="N28" s="38">
        <v>3900</v>
      </c>
      <c r="O28" s="38">
        <v>430</v>
      </c>
      <c r="P28" s="38">
        <v>350</v>
      </c>
      <c r="Q28" s="38">
        <v>3900</v>
      </c>
      <c r="R28" s="38">
        <v>9</v>
      </c>
      <c r="S28" s="38">
        <v>270</v>
      </c>
      <c r="T28" s="38"/>
      <c r="U28" s="38"/>
      <c r="V28" s="38">
        <v>780</v>
      </c>
      <c r="W28" s="38">
        <v>250</v>
      </c>
      <c r="X28" s="38">
        <v>0</v>
      </c>
      <c r="Y28" s="38">
        <v>530</v>
      </c>
      <c r="Z28" s="38">
        <v>0</v>
      </c>
      <c r="AA28" s="38">
        <f>[1]参数!$B$1</f>
        <v>0.28</v>
      </c>
      <c r="AB28" s="38">
        <f>[1]参数!$B$4</f>
        <v>0.4</v>
      </c>
      <c r="AC28" s="38">
        <f>IF(R28&gt;=12,3200,IF(R28&gt;=9,2500,IF(R28&gt;=6,1800,1200)))</f>
        <v>2500</v>
      </c>
      <c r="AD28" s="38">
        <f t="shared" si="19"/>
        <v>2500</v>
      </c>
      <c r="AE28" s="38">
        <f>AA28*AB28*AD28</f>
        <v>280</v>
      </c>
      <c r="AF28" s="38">
        <f t="shared" si="21"/>
        <v>250</v>
      </c>
      <c r="AG28" s="38">
        <f>ROUND((AF28*$AM$1),0)</f>
        <v>250</v>
      </c>
      <c r="AH28" s="82">
        <v>45231</v>
      </c>
      <c r="AI28" s="82">
        <v>45352</v>
      </c>
      <c r="AJ28" s="83" t="s">
        <v>58</v>
      </c>
    </row>
    <row r="29" s="50" customFormat="1" ht="25" customHeight="1" spans="1:36">
      <c r="A29" s="68" t="s">
        <v>118</v>
      </c>
      <c r="B29" s="68" t="s">
        <v>119</v>
      </c>
      <c r="C29" s="68">
        <v>1</v>
      </c>
      <c r="D29" s="68"/>
      <c r="E29" s="68">
        <f t="shared" ref="E29:Z29" si="23">SUM(E30)</f>
        <v>1</v>
      </c>
      <c r="F29" s="68">
        <f t="shared" si="23"/>
        <v>0</v>
      </c>
      <c r="G29" s="68">
        <f t="shared" si="23"/>
        <v>0</v>
      </c>
      <c r="H29" s="68">
        <f t="shared" si="23"/>
        <v>0</v>
      </c>
      <c r="I29" s="68">
        <f t="shared" si="23"/>
        <v>0</v>
      </c>
      <c r="J29" s="68">
        <f t="shared" si="23"/>
        <v>0</v>
      </c>
      <c r="K29" s="68">
        <f t="shared" si="23"/>
        <v>4443</v>
      </c>
      <c r="L29" s="68">
        <f t="shared" si="23"/>
        <v>0</v>
      </c>
      <c r="M29" s="72">
        <f t="shared" si="23"/>
        <v>0</v>
      </c>
      <c r="N29" s="68">
        <f t="shared" si="23"/>
        <v>1166</v>
      </c>
      <c r="O29" s="68">
        <f t="shared" si="23"/>
        <v>200</v>
      </c>
      <c r="P29" s="68">
        <f t="shared" si="23"/>
        <v>0</v>
      </c>
      <c r="Q29" s="68">
        <f t="shared" si="23"/>
        <v>4603</v>
      </c>
      <c r="R29" s="68">
        <f t="shared" si="23"/>
        <v>12</v>
      </c>
      <c r="S29" s="68">
        <f t="shared" si="23"/>
        <v>0</v>
      </c>
      <c r="T29" s="68">
        <f t="shared" si="23"/>
        <v>12</v>
      </c>
      <c r="U29" s="68">
        <f t="shared" si="23"/>
        <v>360</v>
      </c>
      <c r="V29" s="68">
        <f t="shared" si="23"/>
        <v>200</v>
      </c>
      <c r="W29" s="68">
        <f t="shared" si="23"/>
        <v>100</v>
      </c>
      <c r="X29" s="68">
        <f t="shared" si="23"/>
        <v>0</v>
      </c>
      <c r="Y29" s="68">
        <f t="shared" si="23"/>
        <v>100</v>
      </c>
      <c r="Z29" s="68">
        <f t="shared" si="23"/>
        <v>0</v>
      </c>
      <c r="AA29" s="68"/>
      <c r="AB29" s="68"/>
      <c r="AC29" s="68"/>
      <c r="AD29" s="68"/>
      <c r="AE29" s="68"/>
      <c r="AF29" s="68">
        <f>SUM(AF30)</f>
        <v>100</v>
      </c>
      <c r="AG29" s="68">
        <f>SUM(AG30)</f>
        <v>100</v>
      </c>
      <c r="AH29" s="81"/>
      <c r="AI29" s="81"/>
      <c r="AJ29" s="83"/>
    </row>
    <row r="30" s="50" customFormat="1" ht="25" customHeight="1" spans="1:36">
      <c r="A30" s="38">
        <v>1</v>
      </c>
      <c r="B30" s="38" t="s">
        <v>119</v>
      </c>
      <c r="C30" s="38" t="s">
        <v>120</v>
      </c>
      <c r="D30" s="38" t="s">
        <v>87</v>
      </c>
      <c r="E30" s="38">
        <v>1</v>
      </c>
      <c r="F30" s="38"/>
      <c r="G30" s="38"/>
      <c r="H30" s="38"/>
      <c r="I30" s="38"/>
      <c r="J30" s="38"/>
      <c r="K30" s="38">
        <v>4443</v>
      </c>
      <c r="L30" s="38"/>
      <c r="M30" s="73" t="s">
        <v>121</v>
      </c>
      <c r="N30" s="38">
        <v>1166</v>
      </c>
      <c r="O30" s="38">
        <v>200</v>
      </c>
      <c r="P30" s="38"/>
      <c r="Q30" s="38">
        <v>4603</v>
      </c>
      <c r="R30" s="38">
        <v>12</v>
      </c>
      <c r="S30" s="38"/>
      <c r="T30" s="38">
        <v>12</v>
      </c>
      <c r="U30" s="38">
        <v>360</v>
      </c>
      <c r="V30" s="38">
        <v>200</v>
      </c>
      <c r="W30" s="38">
        <v>100</v>
      </c>
      <c r="X30" s="38">
        <v>0</v>
      </c>
      <c r="Y30" s="38">
        <v>100</v>
      </c>
      <c r="Z30" s="38">
        <v>0</v>
      </c>
      <c r="AA30" s="38">
        <f>[1]参数!$D$1</f>
        <v>0.096</v>
      </c>
      <c r="AB30" s="38"/>
      <c r="AC30" s="38">
        <f>IF((T30)&gt;=12,3200,IF((T30)&gt;=9,2500,IF((T30)&gt;=6,1800,1200)))</f>
        <v>3200</v>
      </c>
      <c r="AD30" s="38">
        <f>ROUND(MIN(AC30,N30),0)</f>
        <v>1166</v>
      </c>
      <c r="AE30" s="38">
        <f>AA30*AD30</f>
        <v>111.936</v>
      </c>
      <c r="AF30" s="38">
        <f t="shared" ref="AF30:AF33" si="24">ROUND(MIN(AE30,W30),0)</f>
        <v>100</v>
      </c>
      <c r="AG30" s="38">
        <f>ROUND((AF30*$AM$1),0)</f>
        <v>100</v>
      </c>
      <c r="AH30" s="82">
        <v>45444</v>
      </c>
      <c r="AI30" s="82">
        <v>45627</v>
      </c>
      <c r="AJ30" s="83" t="s">
        <v>122</v>
      </c>
    </row>
    <row r="31" s="45" customFormat="1" ht="25" customHeight="1" spans="1:36">
      <c r="A31" s="68" t="s">
        <v>123</v>
      </c>
      <c r="B31" s="68" t="s">
        <v>124</v>
      </c>
      <c r="C31" s="68">
        <v>2</v>
      </c>
      <c r="D31" s="69"/>
      <c r="E31" s="68">
        <f t="shared" ref="E31:Z31" si="25">SUM(E32:E33)</f>
        <v>1</v>
      </c>
      <c r="F31" s="68">
        <f t="shared" si="25"/>
        <v>1</v>
      </c>
      <c r="G31" s="68">
        <f t="shared" si="25"/>
        <v>0</v>
      </c>
      <c r="H31" s="68">
        <f t="shared" si="25"/>
        <v>0</v>
      </c>
      <c r="I31" s="68">
        <f t="shared" si="25"/>
        <v>0</v>
      </c>
      <c r="J31" s="68">
        <f t="shared" si="25"/>
        <v>0</v>
      </c>
      <c r="K31" s="68">
        <f t="shared" si="25"/>
        <v>4170</v>
      </c>
      <c r="L31" s="68">
        <f t="shared" si="25"/>
        <v>0</v>
      </c>
      <c r="M31" s="72">
        <f t="shared" si="25"/>
        <v>0</v>
      </c>
      <c r="N31" s="68">
        <f t="shared" si="25"/>
        <v>2000</v>
      </c>
      <c r="O31" s="68">
        <f t="shared" si="25"/>
        <v>380</v>
      </c>
      <c r="P31" s="68">
        <f t="shared" si="25"/>
        <v>480.1</v>
      </c>
      <c r="Q31" s="68">
        <f t="shared" si="25"/>
        <v>2000</v>
      </c>
      <c r="R31" s="68">
        <f t="shared" si="25"/>
        <v>12</v>
      </c>
      <c r="S31" s="68">
        <f t="shared" si="25"/>
        <v>0</v>
      </c>
      <c r="T31" s="68">
        <f t="shared" si="25"/>
        <v>12</v>
      </c>
      <c r="U31" s="68">
        <f t="shared" si="25"/>
        <v>360</v>
      </c>
      <c r="V31" s="68">
        <f t="shared" si="25"/>
        <v>860.1</v>
      </c>
      <c r="W31" s="68">
        <f t="shared" si="25"/>
        <v>380</v>
      </c>
      <c r="X31" s="68">
        <f t="shared" si="25"/>
        <v>0</v>
      </c>
      <c r="Y31" s="68">
        <f t="shared" si="25"/>
        <v>480</v>
      </c>
      <c r="Z31" s="68">
        <f t="shared" si="25"/>
        <v>0</v>
      </c>
      <c r="AA31" s="68"/>
      <c r="AB31" s="68"/>
      <c r="AC31" s="68"/>
      <c r="AD31" s="68"/>
      <c r="AE31" s="68"/>
      <c r="AF31" s="68">
        <f>SUM(AF32:AF33)</f>
        <v>372</v>
      </c>
      <c r="AG31" s="68">
        <f>SUM(AG32:AG33)</f>
        <v>372</v>
      </c>
      <c r="AH31" s="81"/>
      <c r="AI31" s="81"/>
      <c r="AJ31" s="84"/>
    </row>
    <row r="32" s="50" customFormat="1" ht="25" customHeight="1" spans="1:36">
      <c r="A32" s="38">
        <v>1</v>
      </c>
      <c r="B32" s="38" t="s">
        <v>125</v>
      </c>
      <c r="C32" s="38" t="s">
        <v>126</v>
      </c>
      <c r="D32" s="38" t="s">
        <v>87</v>
      </c>
      <c r="E32" s="38">
        <v>1</v>
      </c>
      <c r="F32" s="38"/>
      <c r="G32" s="38"/>
      <c r="H32" s="38"/>
      <c r="I32" s="38"/>
      <c r="J32" s="38"/>
      <c r="K32" s="38">
        <v>4170</v>
      </c>
      <c r="L32" s="38" t="s">
        <v>127</v>
      </c>
      <c r="M32" s="73" t="s">
        <v>128</v>
      </c>
      <c r="N32" s="38">
        <v>2000</v>
      </c>
      <c r="O32" s="38">
        <v>380</v>
      </c>
      <c r="P32" s="38">
        <v>200</v>
      </c>
      <c r="Q32" s="38">
        <v>2000</v>
      </c>
      <c r="R32" s="38">
        <v>12</v>
      </c>
      <c r="S32" s="38"/>
      <c r="T32" s="38">
        <v>12</v>
      </c>
      <c r="U32" s="38">
        <v>360</v>
      </c>
      <c r="V32" s="38">
        <v>580</v>
      </c>
      <c r="W32" s="38">
        <v>200</v>
      </c>
      <c r="X32" s="38"/>
      <c r="Y32" s="38">
        <v>380</v>
      </c>
      <c r="Z32" s="38"/>
      <c r="AA32" s="38">
        <f>[1]参数!$D$1</f>
        <v>0.096</v>
      </c>
      <c r="AB32" s="38"/>
      <c r="AC32" s="38">
        <f>IF((T32)&gt;=12,3200,IF((T32)&gt;=9,2500,IF((T32)&gt;=6,1800,1200)))</f>
        <v>3200</v>
      </c>
      <c r="AD32" s="38">
        <f>ROUND(MIN(AC32,N32),0)</f>
        <v>2000</v>
      </c>
      <c r="AE32" s="38">
        <f>AA32*AD32</f>
        <v>192</v>
      </c>
      <c r="AF32" s="38">
        <f t="shared" si="24"/>
        <v>192</v>
      </c>
      <c r="AG32" s="38">
        <f>ROUND((AF32*$AM$1),0)</f>
        <v>192</v>
      </c>
      <c r="AH32" s="82">
        <v>45474</v>
      </c>
      <c r="AI32" s="82">
        <v>45536</v>
      </c>
      <c r="AJ32" s="83" t="s">
        <v>129</v>
      </c>
    </row>
    <row r="33" s="45" customFormat="1" ht="25" customHeight="1" spans="1:36">
      <c r="A33" s="38">
        <v>2</v>
      </c>
      <c r="B33" s="38" t="s">
        <v>130</v>
      </c>
      <c r="C33" s="38" t="s">
        <v>131</v>
      </c>
      <c r="D33" s="38" t="s">
        <v>70</v>
      </c>
      <c r="E33" s="69"/>
      <c r="F33" s="69">
        <v>1</v>
      </c>
      <c r="G33" s="69"/>
      <c r="H33" s="69"/>
      <c r="I33" s="69"/>
      <c r="J33" s="69"/>
      <c r="K33" s="69"/>
      <c r="L33" s="38"/>
      <c r="M33" s="73" t="s">
        <v>132</v>
      </c>
      <c r="N33" s="69"/>
      <c r="O33" s="69"/>
      <c r="P33" s="38">
        <v>280.1</v>
      </c>
      <c r="Q33" s="69"/>
      <c r="R33" s="69"/>
      <c r="S33" s="69"/>
      <c r="T33" s="69"/>
      <c r="U33" s="69"/>
      <c r="V33" s="38">
        <v>280.1</v>
      </c>
      <c r="W33" s="38">
        <v>180</v>
      </c>
      <c r="X33" s="38"/>
      <c r="Y33" s="38">
        <v>100</v>
      </c>
      <c r="Z33" s="38"/>
      <c r="AA33" s="69"/>
      <c r="AB33" s="69"/>
      <c r="AC33" s="69"/>
      <c r="AD33" s="69"/>
      <c r="AE33" s="38">
        <f>INT(IF(V33&lt;[1]参数!$F$9,V33*[1]参数!$F$10,[1]参数!$F$9*[1]参数!$F$10+(V33-[1]参数!$F$9)*[1]参数!$G$10))</f>
        <v>190</v>
      </c>
      <c r="AF33" s="38">
        <f t="shared" si="24"/>
        <v>180</v>
      </c>
      <c r="AG33" s="38">
        <f>ROUND((AF33*$AM$1),0)</f>
        <v>180</v>
      </c>
      <c r="AH33" s="82">
        <v>45352</v>
      </c>
      <c r="AI33" s="86" t="s">
        <v>133</v>
      </c>
      <c r="AJ33" s="83" t="s">
        <v>72</v>
      </c>
    </row>
    <row r="34" s="45" customFormat="1" ht="18" spans="1:36">
      <c r="A34" s="68" t="s">
        <v>134</v>
      </c>
      <c r="B34" s="68" t="s">
        <v>135</v>
      </c>
      <c r="C34" s="68">
        <v>2</v>
      </c>
      <c r="D34" s="69"/>
      <c r="E34" s="68">
        <f t="shared" ref="E34:Z34" si="26">SUM(E35:E36)</f>
        <v>0</v>
      </c>
      <c r="F34" s="68">
        <f t="shared" si="26"/>
        <v>2</v>
      </c>
      <c r="G34" s="68">
        <f t="shared" si="26"/>
        <v>0</v>
      </c>
      <c r="H34" s="68">
        <f t="shared" si="26"/>
        <v>0</v>
      </c>
      <c r="I34" s="68">
        <f t="shared" si="26"/>
        <v>0</v>
      </c>
      <c r="J34" s="68">
        <f t="shared" si="26"/>
        <v>0</v>
      </c>
      <c r="K34" s="68">
        <f t="shared" si="26"/>
        <v>0</v>
      </c>
      <c r="L34" s="68">
        <f t="shared" si="26"/>
        <v>0</v>
      </c>
      <c r="M34" s="72">
        <f t="shared" si="26"/>
        <v>0</v>
      </c>
      <c r="N34" s="68">
        <f t="shared" si="26"/>
        <v>0</v>
      </c>
      <c r="O34" s="68">
        <f t="shared" si="26"/>
        <v>0</v>
      </c>
      <c r="P34" s="68">
        <f t="shared" si="26"/>
        <v>697.5</v>
      </c>
      <c r="Q34" s="68">
        <f t="shared" si="26"/>
        <v>0</v>
      </c>
      <c r="R34" s="68">
        <f t="shared" si="26"/>
        <v>0</v>
      </c>
      <c r="S34" s="68">
        <f t="shared" si="26"/>
        <v>0</v>
      </c>
      <c r="T34" s="68">
        <f t="shared" si="26"/>
        <v>0</v>
      </c>
      <c r="U34" s="68">
        <f t="shared" si="26"/>
        <v>0</v>
      </c>
      <c r="V34" s="68">
        <f t="shared" si="26"/>
        <v>697.5</v>
      </c>
      <c r="W34" s="68">
        <f t="shared" si="26"/>
        <v>630</v>
      </c>
      <c r="X34" s="68">
        <f t="shared" si="26"/>
        <v>0</v>
      </c>
      <c r="Y34" s="68">
        <f t="shared" si="26"/>
        <v>67.5</v>
      </c>
      <c r="Z34" s="68">
        <f t="shared" si="26"/>
        <v>0</v>
      </c>
      <c r="AA34" s="68"/>
      <c r="AB34" s="68"/>
      <c r="AC34" s="68"/>
      <c r="AD34" s="68"/>
      <c r="AE34" s="68"/>
      <c r="AF34" s="68">
        <f>SUM(AF35:AF36)</f>
        <v>414</v>
      </c>
      <c r="AG34" s="68">
        <f>SUM(AG35:AG36)</f>
        <v>414</v>
      </c>
      <c r="AH34" s="81"/>
      <c r="AI34" s="81"/>
      <c r="AJ34" s="84"/>
    </row>
    <row r="35" s="45" customFormat="1" ht="23" customHeight="1" spans="1:36">
      <c r="A35" s="38">
        <v>1</v>
      </c>
      <c r="B35" s="38" t="s">
        <v>136</v>
      </c>
      <c r="C35" s="38" t="s">
        <v>137</v>
      </c>
      <c r="D35" s="38" t="s">
        <v>70</v>
      </c>
      <c r="E35" s="69"/>
      <c r="F35" s="69">
        <v>1</v>
      </c>
      <c r="G35" s="69"/>
      <c r="H35" s="69"/>
      <c r="I35" s="69"/>
      <c r="J35" s="69"/>
      <c r="K35" s="69"/>
      <c r="L35" s="38"/>
      <c r="M35" s="73" t="s">
        <v>138</v>
      </c>
      <c r="N35" s="69"/>
      <c r="O35" s="69"/>
      <c r="P35" s="38">
        <v>337.5</v>
      </c>
      <c r="Q35" s="69"/>
      <c r="R35" s="69"/>
      <c r="S35" s="69"/>
      <c r="T35" s="69"/>
      <c r="U35" s="69"/>
      <c r="V35" s="38">
        <v>337.5</v>
      </c>
      <c r="W35" s="38">
        <v>300</v>
      </c>
      <c r="X35" s="38"/>
      <c r="Y35" s="38">
        <v>37.5</v>
      </c>
      <c r="Z35" s="38"/>
      <c r="AA35" s="69"/>
      <c r="AB35" s="69"/>
      <c r="AC35" s="69"/>
      <c r="AD35" s="69"/>
      <c r="AE35" s="38">
        <f>INT(IF(V35&lt;[1]参数!$F$9,V35*[1]参数!$F$10,[1]参数!$F$9*[1]参数!$F$10+(V35-[1]参数!$F$9)*[1]参数!$G$10))</f>
        <v>204</v>
      </c>
      <c r="AF35" s="38">
        <f t="shared" ref="AF35:AF39" si="27">ROUND(MIN(AE35,W35),0)</f>
        <v>204</v>
      </c>
      <c r="AG35" s="38">
        <f>ROUND((AF35*$AM$1),0)</f>
        <v>204</v>
      </c>
      <c r="AH35" s="82">
        <v>45474</v>
      </c>
      <c r="AI35" s="82">
        <v>45627</v>
      </c>
      <c r="AJ35" s="83" t="s">
        <v>72</v>
      </c>
    </row>
    <row r="36" s="45" customFormat="1" ht="23" customHeight="1" spans="1:36">
      <c r="A36" s="38">
        <v>2</v>
      </c>
      <c r="B36" s="38" t="s">
        <v>136</v>
      </c>
      <c r="C36" s="38" t="s">
        <v>139</v>
      </c>
      <c r="D36" s="38" t="s">
        <v>70</v>
      </c>
      <c r="E36" s="69"/>
      <c r="F36" s="69">
        <v>1</v>
      </c>
      <c r="G36" s="69"/>
      <c r="H36" s="69"/>
      <c r="I36" s="69"/>
      <c r="J36" s="69"/>
      <c r="K36" s="69"/>
      <c r="L36" s="38"/>
      <c r="M36" s="73" t="s">
        <v>138</v>
      </c>
      <c r="N36" s="69"/>
      <c r="O36" s="69"/>
      <c r="P36" s="38">
        <v>360</v>
      </c>
      <c r="Q36" s="69"/>
      <c r="R36" s="69"/>
      <c r="S36" s="69"/>
      <c r="T36" s="69"/>
      <c r="U36" s="69"/>
      <c r="V36" s="38">
        <v>360</v>
      </c>
      <c r="W36" s="38">
        <v>330</v>
      </c>
      <c r="X36" s="38"/>
      <c r="Y36" s="38">
        <v>30</v>
      </c>
      <c r="Z36" s="38"/>
      <c r="AA36" s="69"/>
      <c r="AB36" s="69"/>
      <c r="AC36" s="69"/>
      <c r="AD36" s="69"/>
      <c r="AE36" s="38">
        <f>INT(IF(V36&lt;[1]参数!$F$9,V36*[1]参数!$F$10,[1]参数!$F$9*[1]参数!$F$10+(V36-[1]参数!$F$9)*[1]参数!$G$10))</f>
        <v>210</v>
      </c>
      <c r="AF36" s="38">
        <f t="shared" si="27"/>
        <v>210</v>
      </c>
      <c r="AG36" s="38">
        <f>ROUND((AF36*$AM$1),0)</f>
        <v>210</v>
      </c>
      <c r="AH36" s="82">
        <v>45474</v>
      </c>
      <c r="AI36" s="82">
        <v>45627</v>
      </c>
      <c r="AJ36" s="83" t="s">
        <v>72</v>
      </c>
    </row>
    <row r="37" s="45" customFormat="1" ht="23" customHeight="1" spans="1:36">
      <c r="A37" s="68" t="s">
        <v>140</v>
      </c>
      <c r="B37" s="68" t="s">
        <v>141</v>
      </c>
      <c r="C37" s="68">
        <v>2</v>
      </c>
      <c r="D37" s="69"/>
      <c r="E37" s="68">
        <f t="shared" ref="E37:Z37" si="28">SUM(E38:E39)</f>
        <v>0</v>
      </c>
      <c r="F37" s="68">
        <f t="shared" si="28"/>
        <v>2</v>
      </c>
      <c r="G37" s="68">
        <f t="shared" si="28"/>
        <v>0</v>
      </c>
      <c r="H37" s="68">
        <f t="shared" si="28"/>
        <v>0</v>
      </c>
      <c r="I37" s="68">
        <f t="shared" si="28"/>
        <v>0</v>
      </c>
      <c r="J37" s="68">
        <f t="shared" si="28"/>
        <v>0</v>
      </c>
      <c r="K37" s="68">
        <f t="shared" si="28"/>
        <v>0</v>
      </c>
      <c r="L37" s="68">
        <f t="shared" si="28"/>
        <v>0</v>
      </c>
      <c r="M37" s="72">
        <f t="shared" si="28"/>
        <v>0</v>
      </c>
      <c r="N37" s="68">
        <f t="shared" si="28"/>
        <v>0</v>
      </c>
      <c r="O37" s="68">
        <f t="shared" si="28"/>
        <v>0</v>
      </c>
      <c r="P37" s="68">
        <f t="shared" si="28"/>
        <v>206</v>
      </c>
      <c r="Q37" s="68">
        <f t="shared" si="28"/>
        <v>0</v>
      </c>
      <c r="R37" s="68">
        <f t="shared" si="28"/>
        <v>0</v>
      </c>
      <c r="S37" s="68">
        <f t="shared" si="28"/>
        <v>0</v>
      </c>
      <c r="T37" s="68">
        <f t="shared" si="28"/>
        <v>0</v>
      </c>
      <c r="U37" s="68">
        <f t="shared" si="28"/>
        <v>0</v>
      </c>
      <c r="V37" s="68">
        <f t="shared" si="28"/>
        <v>206</v>
      </c>
      <c r="W37" s="68">
        <f t="shared" si="28"/>
        <v>176</v>
      </c>
      <c r="X37" s="68">
        <f t="shared" si="28"/>
        <v>0</v>
      </c>
      <c r="Y37" s="68">
        <f t="shared" si="28"/>
        <v>30</v>
      </c>
      <c r="Z37" s="68">
        <f t="shared" si="28"/>
        <v>0</v>
      </c>
      <c r="AA37" s="68"/>
      <c r="AB37" s="68"/>
      <c r="AC37" s="68"/>
      <c r="AD37" s="68"/>
      <c r="AE37" s="68"/>
      <c r="AF37" s="68">
        <f>SUM(AF38:AF39)</f>
        <v>167</v>
      </c>
      <c r="AG37" s="68">
        <f>SUM(AG38:AG39)</f>
        <v>167</v>
      </c>
      <c r="AH37" s="81"/>
      <c r="AI37" s="81"/>
      <c r="AJ37" s="84"/>
    </row>
    <row r="38" s="45" customFormat="1" ht="23" customHeight="1" spans="1:36">
      <c r="A38" s="38">
        <v>1</v>
      </c>
      <c r="B38" s="38" t="s">
        <v>142</v>
      </c>
      <c r="C38" s="38" t="s">
        <v>143</v>
      </c>
      <c r="D38" s="38" t="s">
        <v>70</v>
      </c>
      <c r="E38" s="69"/>
      <c r="F38" s="69">
        <v>1</v>
      </c>
      <c r="G38" s="69"/>
      <c r="H38" s="69"/>
      <c r="I38" s="69"/>
      <c r="J38" s="69"/>
      <c r="K38" s="69"/>
      <c r="L38" s="38"/>
      <c r="M38" s="73" t="s">
        <v>144</v>
      </c>
      <c r="N38" s="69"/>
      <c r="O38" s="69"/>
      <c r="P38" s="38">
        <v>80</v>
      </c>
      <c r="Q38" s="69"/>
      <c r="R38" s="69"/>
      <c r="S38" s="69"/>
      <c r="T38" s="69"/>
      <c r="U38" s="69"/>
      <c r="V38" s="38">
        <v>80</v>
      </c>
      <c r="W38" s="38">
        <v>60</v>
      </c>
      <c r="X38" s="38">
        <v>0</v>
      </c>
      <c r="Y38" s="38">
        <v>20</v>
      </c>
      <c r="Z38" s="38"/>
      <c r="AA38" s="69"/>
      <c r="AB38" s="69"/>
      <c r="AC38" s="69"/>
      <c r="AD38" s="69"/>
      <c r="AE38" s="38">
        <f>INT(IF(V38&lt;[1]参数!$F$9,V38*[1]参数!$F$10,[1]参数!$F$9*[1]参数!$F$10+(V38-[1]参数!$F$9)*[1]参数!$G$10))</f>
        <v>68</v>
      </c>
      <c r="AF38" s="38">
        <f t="shared" si="27"/>
        <v>60</v>
      </c>
      <c r="AG38" s="38">
        <f>ROUND((AF38*$AM$1),0)</f>
        <v>60</v>
      </c>
      <c r="AH38" s="82">
        <v>45505</v>
      </c>
      <c r="AI38" s="82">
        <v>45627</v>
      </c>
      <c r="AJ38" s="83" t="s">
        <v>72</v>
      </c>
    </row>
    <row r="39" s="45" customFormat="1" ht="23" customHeight="1" spans="1:36">
      <c r="A39" s="38">
        <v>2</v>
      </c>
      <c r="B39" s="38" t="s">
        <v>145</v>
      </c>
      <c r="C39" s="38" t="s">
        <v>146</v>
      </c>
      <c r="D39" s="38" t="s">
        <v>70</v>
      </c>
      <c r="E39" s="69"/>
      <c r="F39" s="69">
        <v>1</v>
      </c>
      <c r="G39" s="69"/>
      <c r="H39" s="69"/>
      <c r="I39" s="69"/>
      <c r="J39" s="69"/>
      <c r="K39" s="69"/>
      <c r="L39" s="38"/>
      <c r="M39" s="73" t="s">
        <v>144</v>
      </c>
      <c r="N39" s="69"/>
      <c r="O39" s="69"/>
      <c r="P39" s="38">
        <v>126</v>
      </c>
      <c r="Q39" s="69"/>
      <c r="R39" s="69"/>
      <c r="S39" s="69"/>
      <c r="T39" s="69"/>
      <c r="U39" s="69"/>
      <c r="V39" s="38">
        <v>126</v>
      </c>
      <c r="W39" s="38">
        <v>116</v>
      </c>
      <c r="X39" s="38"/>
      <c r="Y39" s="38">
        <v>10</v>
      </c>
      <c r="Z39" s="38"/>
      <c r="AA39" s="69"/>
      <c r="AB39" s="69"/>
      <c r="AC39" s="69"/>
      <c r="AD39" s="69"/>
      <c r="AE39" s="38">
        <f>INT(IF(V39&lt;[1]参数!$F$9,V39*[1]参数!$F$10,[1]参数!$F$9*[1]参数!$F$10+(V39-[1]参数!$F$9)*[1]参数!$G$10))</f>
        <v>107</v>
      </c>
      <c r="AF39" s="38">
        <f t="shared" si="27"/>
        <v>107</v>
      </c>
      <c r="AG39" s="38">
        <f>ROUND((AF39*$AM$1),0)</f>
        <v>107</v>
      </c>
      <c r="AH39" s="82">
        <v>45505</v>
      </c>
      <c r="AI39" s="82">
        <v>45627</v>
      </c>
      <c r="AJ39" s="83" t="s">
        <v>72</v>
      </c>
    </row>
    <row r="40" s="45" customFormat="1" ht="23" customHeight="1" spans="1:36">
      <c r="A40" s="68" t="s">
        <v>147</v>
      </c>
      <c r="B40" s="68" t="s">
        <v>148</v>
      </c>
      <c r="C40" s="68">
        <v>6</v>
      </c>
      <c r="D40" s="69"/>
      <c r="E40" s="68">
        <f t="shared" ref="E40:Z40" si="29">SUM(E41:E46)</f>
        <v>0</v>
      </c>
      <c r="F40" s="68">
        <f t="shared" si="29"/>
        <v>2</v>
      </c>
      <c r="G40" s="68">
        <f t="shared" si="29"/>
        <v>0</v>
      </c>
      <c r="H40" s="68">
        <f t="shared" si="29"/>
        <v>2</v>
      </c>
      <c r="I40" s="68">
        <f t="shared" si="29"/>
        <v>2</v>
      </c>
      <c r="J40" s="68">
        <f t="shared" si="29"/>
        <v>0</v>
      </c>
      <c r="K40" s="68">
        <f t="shared" si="29"/>
        <v>9738.105</v>
      </c>
      <c r="L40" s="68">
        <f t="shared" si="29"/>
        <v>0</v>
      </c>
      <c r="M40" s="72">
        <f t="shared" si="29"/>
        <v>0</v>
      </c>
      <c r="N40" s="68">
        <f t="shared" si="29"/>
        <v>28560.12</v>
      </c>
      <c r="O40" s="68">
        <f t="shared" si="29"/>
        <v>9767.62</v>
      </c>
      <c r="P40" s="68">
        <f t="shared" si="29"/>
        <v>790</v>
      </c>
      <c r="Q40" s="68">
        <f t="shared" si="29"/>
        <v>28560.12</v>
      </c>
      <c r="R40" s="68">
        <f t="shared" si="29"/>
        <v>63</v>
      </c>
      <c r="S40" s="68">
        <f t="shared" si="29"/>
        <v>1890</v>
      </c>
      <c r="T40" s="68">
        <f t="shared" si="29"/>
        <v>0</v>
      </c>
      <c r="U40" s="68">
        <f t="shared" si="29"/>
        <v>0</v>
      </c>
      <c r="V40" s="68">
        <f t="shared" si="29"/>
        <v>10557.62</v>
      </c>
      <c r="W40" s="68">
        <f t="shared" si="29"/>
        <v>1452</v>
      </c>
      <c r="X40" s="68">
        <f t="shared" si="29"/>
        <v>20</v>
      </c>
      <c r="Y40" s="68">
        <f t="shared" si="29"/>
        <v>9085.62</v>
      </c>
      <c r="Z40" s="68">
        <f t="shared" si="29"/>
        <v>0</v>
      </c>
      <c r="AA40" s="68"/>
      <c r="AB40" s="68"/>
      <c r="AC40" s="68"/>
      <c r="AD40" s="68"/>
      <c r="AE40" s="68"/>
      <c r="AF40" s="68">
        <f>SUM(AF41:AF46)</f>
        <v>1452</v>
      </c>
      <c r="AG40" s="68">
        <f>SUM(AG41:AG46)</f>
        <v>1452</v>
      </c>
      <c r="AH40" s="81"/>
      <c r="AI40" s="81"/>
      <c r="AJ40" s="84"/>
    </row>
    <row r="41" s="45" customFormat="1" ht="23" customHeight="1" spans="1:36">
      <c r="A41" s="38">
        <v>1</v>
      </c>
      <c r="B41" s="38" t="s">
        <v>149</v>
      </c>
      <c r="C41" s="38" t="s">
        <v>150</v>
      </c>
      <c r="D41" s="38" t="s">
        <v>70</v>
      </c>
      <c r="E41" s="69"/>
      <c r="F41" s="69">
        <v>1</v>
      </c>
      <c r="G41" s="69"/>
      <c r="H41" s="69"/>
      <c r="I41" s="69"/>
      <c r="J41" s="69"/>
      <c r="K41" s="69"/>
      <c r="L41" s="38"/>
      <c r="M41" s="73" t="s">
        <v>151</v>
      </c>
      <c r="N41" s="69"/>
      <c r="O41" s="69"/>
      <c r="P41" s="38">
        <v>90</v>
      </c>
      <c r="Q41" s="69"/>
      <c r="R41" s="69"/>
      <c r="S41" s="69"/>
      <c r="T41" s="69"/>
      <c r="U41" s="69"/>
      <c r="V41" s="38">
        <v>90</v>
      </c>
      <c r="W41" s="38">
        <v>70</v>
      </c>
      <c r="X41" s="38"/>
      <c r="Y41" s="38">
        <v>20</v>
      </c>
      <c r="Z41" s="38"/>
      <c r="AA41" s="69"/>
      <c r="AB41" s="69"/>
      <c r="AC41" s="69"/>
      <c r="AD41" s="69"/>
      <c r="AE41" s="38">
        <f>INT(IF(V41&lt;[1]参数!$F$9,V41*[1]参数!$F$10,[1]参数!$F$9*[1]参数!$F$10+(V41-[1]参数!$F$9)*[1]参数!$G$10))</f>
        <v>76</v>
      </c>
      <c r="AF41" s="38">
        <f t="shared" ref="AF41:AF46" si="30">ROUND(MIN(AE41,W41),0)</f>
        <v>70</v>
      </c>
      <c r="AG41" s="38">
        <f>ROUND((AF41*$AM$1),0)</f>
        <v>70</v>
      </c>
      <c r="AH41" s="82">
        <v>45352</v>
      </c>
      <c r="AI41" s="82">
        <v>45505</v>
      </c>
      <c r="AJ41" s="83" t="s">
        <v>72</v>
      </c>
    </row>
    <row r="42" s="45" customFormat="1" ht="23" customHeight="1" spans="1:36">
      <c r="A42" s="38">
        <v>2</v>
      </c>
      <c r="B42" s="38" t="s">
        <v>152</v>
      </c>
      <c r="C42" s="38" t="s">
        <v>153</v>
      </c>
      <c r="D42" s="38" t="s">
        <v>70</v>
      </c>
      <c r="E42" s="69"/>
      <c r="F42" s="69">
        <v>1</v>
      </c>
      <c r="G42" s="69"/>
      <c r="H42" s="69"/>
      <c r="I42" s="69"/>
      <c r="J42" s="69"/>
      <c r="K42" s="69"/>
      <c r="L42" s="38"/>
      <c r="M42" s="73" t="s">
        <v>154</v>
      </c>
      <c r="N42" s="69"/>
      <c r="O42" s="69"/>
      <c r="P42" s="38">
        <v>200</v>
      </c>
      <c r="Q42" s="69"/>
      <c r="R42" s="69"/>
      <c r="S42" s="69"/>
      <c r="T42" s="69"/>
      <c r="U42" s="69"/>
      <c r="V42" s="38">
        <v>200</v>
      </c>
      <c r="W42" s="38">
        <v>150</v>
      </c>
      <c r="X42" s="38"/>
      <c r="Y42" s="38">
        <v>50</v>
      </c>
      <c r="Z42" s="38"/>
      <c r="AA42" s="69"/>
      <c r="AB42" s="69"/>
      <c r="AC42" s="69"/>
      <c r="AD42" s="69"/>
      <c r="AE42" s="38">
        <f>INT(IF(V42&lt;[1]参数!$F$9,V42*[1]参数!$F$10,[1]参数!$F$9*[1]参数!$F$10+(V42-[1]参数!$F$9)*[1]参数!$G$10))</f>
        <v>170</v>
      </c>
      <c r="AF42" s="38">
        <f t="shared" si="30"/>
        <v>150</v>
      </c>
      <c r="AG42" s="38">
        <f>ROUND((AF42*$AM$1),0)</f>
        <v>150</v>
      </c>
      <c r="AH42" s="82">
        <v>45352</v>
      </c>
      <c r="AI42" s="82">
        <v>45505</v>
      </c>
      <c r="AJ42" s="83" t="s">
        <v>72</v>
      </c>
    </row>
    <row r="43" s="48" customFormat="1" ht="32" customHeight="1" spans="1:36">
      <c r="A43" s="38">
        <v>3</v>
      </c>
      <c r="B43" s="38" t="s">
        <v>155</v>
      </c>
      <c r="C43" s="38" t="s">
        <v>156</v>
      </c>
      <c r="D43" s="38" t="s">
        <v>26</v>
      </c>
      <c r="E43" s="38"/>
      <c r="F43" s="38"/>
      <c r="G43" s="38"/>
      <c r="H43" s="38">
        <v>1</v>
      </c>
      <c r="I43" s="38"/>
      <c r="J43" s="38"/>
      <c r="K43" s="38">
        <v>4500</v>
      </c>
      <c r="L43" s="38" t="s">
        <v>157</v>
      </c>
      <c r="M43" s="73" t="s">
        <v>138</v>
      </c>
      <c r="N43" s="74">
        <v>4000</v>
      </c>
      <c r="O43" s="74"/>
      <c r="P43" s="74">
        <v>250</v>
      </c>
      <c r="Q43" s="74">
        <v>4000</v>
      </c>
      <c r="R43" s="74">
        <v>12</v>
      </c>
      <c r="S43" s="74">
        <v>360</v>
      </c>
      <c r="T43" s="74"/>
      <c r="U43" s="74"/>
      <c r="V43" s="74">
        <v>250</v>
      </c>
      <c r="W43" s="74">
        <v>200</v>
      </c>
      <c r="X43" s="74"/>
      <c r="Y43" s="74">
        <v>50</v>
      </c>
      <c r="Z43" s="74"/>
      <c r="AA43" s="38">
        <f>[1]参数!$B$1</f>
        <v>0.28</v>
      </c>
      <c r="AB43" s="38">
        <f>[1]参数!$B$4</f>
        <v>0.4</v>
      </c>
      <c r="AC43" s="38">
        <f t="shared" ref="AC43:AC46" si="31">IF(R43&gt;=12,3200,IF(R43&gt;=9,2500,IF(R43&gt;=6,1800,1200)))</f>
        <v>3200</v>
      </c>
      <c r="AD43" s="38">
        <f>ROUND(MIN(N43,AC43),0)</f>
        <v>3200</v>
      </c>
      <c r="AE43" s="38">
        <f t="shared" ref="AE43:AE46" si="32">AA43*AB43*AD43</f>
        <v>358.4</v>
      </c>
      <c r="AF43" s="38">
        <f>ROUND(MIN(W43,AE43),0)</f>
        <v>200</v>
      </c>
      <c r="AG43" s="38">
        <f>ROUND((AF43*$AM$1),0)</f>
        <v>200</v>
      </c>
      <c r="AH43" s="87">
        <v>45292</v>
      </c>
      <c r="AI43" s="87">
        <v>45657</v>
      </c>
      <c r="AJ43" s="83" t="s">
        <v>158</v>
      </c>
    </row>
    <row r="44" s="48" customFormat="1" ht="32" customHeight="1" spans="1:36">
      <c r="A44" s="38">
        <v>4</v>
      </c>
      <c r="B44" s="38" t="s">
        <v>155</v>
      </c>
      <c r="C44" s="38" t="s">
        <v>159</v>
      </c>
      <c r="D44" s="38" t="s">
        <v>26</v>
      </c>
      <c r="E44" s="38"/>
      <c r="F44" s="38"/>
      <c r="G44" s="38"/>
      <c r="H44" s="38">
        <v>1</v>
      </c>
      <c r="I44" s="38"/>
      <c r="J44" s="38"/>
      <c r="K44" s="38">
        <v>5200</v>
      </c>
      <c r="L44" s="38" t="s">
        <v>160</v>
      </c>
      <c r="M44" s="73" t="s">
        <v>138</v>
      </c>
      <c r="N44" s="74">
        <v>5000</v>
      </c>
      <c r="O44" s="74"/>
      <c r="P44" s="74">
        <v>250</v>
      </c>
      <c r="Q44" s="74">
        <v>5000</v>
      </c>
      <c r="R44" s="74">
        <v>18</v>
      </c>
      <c r="S44" s="74">
        <v>540</v>
      </c>
      <c r="T44" s="74"/>
      <c r="U44" s="74"/>
      <c r="V44" s="74">
        <v>250</v>
      </c>
      <c r="W44" s="74">
        <v>200</v>
      </c>
      <c r="X44" s="74"/>
      <c r="Y44" s="74">
        <v>50</v>
      </c>
      <c r="Z44" s="74"/>
      <c r="AA44" s="38">
        <f>[1]参数!$B$1</f>
        <v>0.28</v>
      </c>
      <c r="AB44" s="38">
        <f>[1]参数!$B$4</f>
        <v>0.4</v>
      </c>
      <c r="AC44" s="38">
        <f t="shared" si="31"/>
        <v>3200</v>
      </c>
      <c r="AD44" s="38">
        <f>ROUND(MIN(N44,AC44),0)</f>
        <v>3200</v>
      </c>
      <c r="AE44" s="38">
        <f t="shared" si="32"/>
        <v>358.4</v>
      </c>
      <c r="AF44" s="38">
        <f>ROUND(MIN(W44,AE44),0)</f>
        <v>200</v>
      </c>
      <c r="AG44" s="38">
        <f>ROUND((AF44*$AM$1),0)</f>
        <v>200</v>
      </c>
      <c r="AH44" s="87">
        <v>45292</v>
      </c>
      <c r="AI44" s="87">
        <v>45657</v>
      </c>
      <c r="AJ44" s="83" t="s">
        <v>158</v>
      </c>
    </row>
    <row r="45" s="47" customFormat="1" ht="23" customHeight="1" spans="1:36">
      <c r="A45" s="38">
        <v>5</v>
      </c>
      <c r="B45" s="38" t="s">
        <v>161</v>
      </c>
      <c r="C45" s="38" t="s">
        <v>162</v>
      </c>
      <c r="D45" s="38" t="s">
        <v>27</v>
      </c>
      <c r="E45" s="38"/>
      <c r="F45" s="38"/>
      <c r="G45" s="38"/>
      <c r="H45" s="38"/>
      <c r="I45" s="38">
        <v>1</v>
      </c>
      <c r="J45" s="38"/>
      <c r="K45" s="38">
        <v>22.675</v>
      </c>
      <c r="L45" s="38" t="s">
        <v>163</v>
      </c>
      <c r="M45" s="73" t="s">
        <v>164</v>
      </c>
      <c r="N45" s="74">
        <v>12088</v>
      </c>
      <c r="O45" s="74">
        <v>6212.46</v>
      </c>
      <c r="P45" s="74"/>
      <c r="Q45" s="74">
        <v>12088</v>
      </c>
      <c r="R45" s="74">
        <v>18</v>
      </c>
      <c r="S45" s="74">
        <v>540</v>
      </c>
      <c r="T45" s="74"/>
      <c r="U45" s="74"/>
      <c r="V45" s="74">
        <f>W45+X45+Y45</f>
        <v>6212.46</v>
      </c>
      <c r="W45" s="74">
        <v>416</v>
      </c>
      <c r="X45" s="74">
        <v>10</v>
      </c>
      <c r="Y45" s="74">
        <v>5786.46</v>
      </c>
      <c r="Z45" s="74"/>
      <c r="AA45" s="38">
        <f>[1]参数!$B$1</f>
        <v>0.28</v>
      </c>
      <c r="AB45" s="38">
        <f>[1]参数!$B$2</f>
        <v>1</v>
      </c>
      <c r="AC45" s="38">
        <f t="shared" si="31"/>
        <v>3200</v>
      </c>
      <c r="AD45" s="38">
        <f>ROUND(MIN(Q45,AC45),0)</f>
        <v>3200</v>
      </c>
      <c r="AE45" s="38">
        <f t="shared" si="32"/>
        <v>896</v>
      </c>
      <c r="AF45" s="38">
        <f t="shared" si="30"/>
        <v>416</v>
      </c>
      <c r="AG45" s="38">
        <f>ROUND((AF45*$AM$1),0)</f>
        <v>416</v>
      </c>
      <c r="AH45" s="87">
        <v>45231</v>
      </c>
      <c r="AI45" s="87">
        <v>45688</v>
      </c>
      <c r="AJ45" s="83" t="s">
        <v>165</v>
      </c>
    </row>
    <row r="46" s="47" customFormat="1" ht="23" customHeight="1" spans="1:36">
      <c r="A46" s="38">
        <v>6</v>
      </c>
      <c r="B46" s="38" t="s">
        <v>166</v>
      </c>
      <c r="C46" s="38" t="s">
        <v>167</v>
      </c>
      <c r="D46" s="38" t="s">
        <v>27</v>
      </c>
      <c r="E46" s="38"/>
      <c r="F46" s="38"/>
      <c r="G46" s="38"/>
      <c r="H46" s="38"/>
      <c r="I46" s="38">
        <v>1</v>
      </c>
      <c r="J46" s="38"/>
      <c r="K46" s="38">
        <v>15.43</v>
      </c>
      <c r="L46" s="38" t="s">
        <v>168</v>
      </c>
      <c r="M46" s="73" t="s">
        <v>164</v>
      </c>
      <c r="N46" s="74">
        <v>7472.12</v>
      </c>
      <c r="O46" s="74">
        <v>3555.16</v>
      </c>
      <c r="P46" s="74"/>
      <c r="Q46" s="74">
        <v>7472.12</v>
      </c>
      <c r="R46" s="74">
        <v>15</v>
      </c>
      <c r="S46" s="74">
        <v>450</v>
      </c>
      <c r="T46" s="74"/>
      <c r="U46" s="74"/>
      <c r="V46" s="74">
        <f>W46+X46+Y46</f>
        <v>3555.16</v>
      </c>
      <c r="W46" s="74">
        <v>416</v>
      </c>
      <c r="X46" s="74">
        <v>10</v>
      </c>
      <c r="Y46" s="74">
        <v>3129.16</v>
      </c>
      <c r="Z46" s="74"/>
      <c r="AA46" s="38">
        <f>[1]参数!$B$1</f>
        <v>0.28</v>
      </c>
      <c r="AB46" s="38">
        <f>[1]参数!$B$2</f>
        <v>1</v>
      </c>
      <c r="AC46" s="38">
        <f t="shared" si="31"/>
        <v>3200</v>
      </c>
      <c r="AD46" s="38">
        <f>ROUND(MIN(Q46,AC46),0)</f>
        <v>3200</v>
      </c>
      <c r="AE46" s="38">
        <f t="shared" si="32"/>
        <v>896</v>
      </c>
      <c r="AF46" s="38">
        <f t="shared" si="30"/>
        <v>416</v>
      </c>
      <c r="AG46" s="38">
        <f>ROUND((AF46*$AM$1),0)</f>
        <v>416</v>
      </c>
      <c r="AH46" s="87">
        <v>45383</v>
      </c>
      <c r="AI46" s="87">
        <v>45808</v>
      </c>
      <c r="AJ46" s="83" t="s">
        <v>169</v>
      </c>
    </row>
    <row r="47" s="45" customFormat="1" ht="23" customHeight="1" spans="1:36">
      <c r="A47" s="68" t="s">
        <v>170</v>
      </c>
      <c r="B47" s="68" t="s">
        <v>171</v>
      </c>
      <c r="C47" s="68">
        <v>1</v>
      </c>
      <c r="D47" s="69"/>
      <c r="E47" s="68">
        <f t="shared" ref="E47:Z47" si="33">SUM(E48)</f>
        <v>0</v>
      </c>
      <c r="F47" s="68">
        <f t="shared" si="33"/>
        <v>1</v>
      </c>
      <c r="G47" s="68">
        <f t="shared" si="33"/>
        <v>0</v>
      </c>
      <c r="H47" s="68">
        <f t="shared" si="33"/>
        <v>0</v>
      </c>
      <c r="I47" s="68">
        <f t="shared" si="33"/>
        <v>0</v>
      </c>
      <c r="J47" s="68">
        <f t="shared" si="33"/>
        <v>0</v>
      </c>
      <c r="K47" s="68">
        <f t="shared" si="33"/>
        <v>0</v>
      </c>
      <c r="L47" s="68">
        <f t="shared" si="33"/>
        <v>0</v>
      </c>
      <c r="M47" s="72">
        <f t="shared" si="33"/>
        <v>0</v>
      </c>
      <c r="N47" s="68">
        <f t="shared" si="33"/>
        <v>0</v>
      </c>
      <c r="O47" s="68">
        <f t="shared" si="33"/>
        <v>0</v>
      </c>
      <c r="P47" s="68">
        <f t="shared" si="33"/>
        <v>400</v>
      </c>
      <c r="Q47" s="68">
        <f t="shared" si="33"/>
        <v>0</v>
      </c>
      <c r="R47" s="68">
        <f t="shared" si="33"/>
        <v>0</v>
      </c>
      <c r="S47" s="68">
        <f t="shared" si="33"/>
        <v>0</v>
      </c>
      <c r="T47" s="68">
        <f t="shared" si="33"/>
        <v>0</v>
      </c>
      <c r="U47" s="68">
        <f t="shared" si="33"/>
        <v>0</v>
      </c>
      <c r="V47" s="68">
        <f t="shared" si="33"/>
        <v>400</v>
      </c>
      <c r="W47" s="68">
        <f t="shared" si="33"/>
        <v>100</v>
      </c>
      <c r="X47" s="68">
        <f t="shared" si="33"/>
        <v>0</v>
      </c>
      <c r="Y47" s="68">
        <f t="shared" si="33"/>
        <v>0</v>
      </c>
      <c r="Z47" s="68">
        <f t="shared" si="33"/>
        <v>300</v>
      </c>
      <c r="AA47" s="68"/>
      <c r="AB47" s="68"/>
      <c r="AC47" s="68"/>
      <c r="AD47" s="68"/>
      <c r="AE47" s="68"/>
      <c r="AF47" s="68">
        <f>SUM(AF48)</f>
        <v>100</v>
      </c>
      <c r="AG47" s="68">
        <f>SUM(AG48)</f>
        <v>100</v>
      </c>
      <c r="AH47" s="81"/>
      <c r="AI47" s="81"/>
      <c r="AJ47" s="84"/>
    </row>
    <row r="48" s="45" customFormat="1" ht="23" customHeight="1" spans="1:36">
      <c r="A48" s="38">
        <v>1</v>
      </c>
      <c r="B48" s="38" t="s">
        <v>171</v>
      </c>
      <c r="C48" s="38" t="s">
        <v>172</v>
      </c>
      <c r="D48" s="38" t="s">
        <v>70</v>
      </c>
      <c r="E48" s="69"/>
      <c r="F48" s="69">
        <v>1</v>
      </c>
      <c r="G48" s="69"/>
      <c r="H48" s="69"/>
      <c r="I48" s="69"/>
      <c r="J48" s="69"/>
      <c r="K48" s="69"/>
      <c r="L48" s="38"/>
      <c r="M48" s="73" t="s">
        <v>173</v>
      </c>
      <c r="N48" s="69"/>
      <c r="O48" s="69"/>
      <c r="P48" s="38">
        <v>400</v>
      </c>
      <c r="Q48" s="69"/>
      <c r="R48" s="69"/>
      <c r="S48" s="69"/>
      <c r="T48" s="69"/>
      <c r="U48" s="69"/>
      <c r="V48" s="38">
        <v>400</v>
      </c>
      <c r="W48" s="38">
        <v>100</v>
      </c>
      <c r="X48" s="38"/>
      <c r="Y48" s="38"/>
      <c r="Z48" s="38">
        <v>300</v>
      </c>
      <c r="AA48" s="69"/>
      <c r="AB48" s="69"/>
      <c r="AC48" s="69"/>
      <c r="AD48" s="69"/>
      <c r="AE48" s="38">
        <f>INT(IF(V48&lt;[1]参数!$F$9,V48*[1]参数!$F$10,[1]参数!$F$9*[1]参数!$F$10+(V48-[1]参数!$F$9)*[1]参数!$G$10))</f>
        <v>220</v>
      </c>
      <c r="AF48" s="38">
        <f>ROUND(MIN(AE48,W48),0)</f>
        <v>100</v>
      </c>
      <c r="AG48" s="38">
        <f>ROUND((AF48*$AM$1),0)</f>
        <v>100</v>
      </c>
      <c r="AH48" s="82">
        <v>45444</v>
      </c>
      <c r="AI48" s="82">
        <v>45536</v>
      </c>
      <c r="AJ48" s="83" t="s">
        <v>72</v>
      </c>
    </row>
    <row r="49" s="45" customFormat="1" ht="18" spans="1:36">
      <c r="A49" s="38"/>
      <c r="B49" s="68" t="s">
        <v>174</v>
      </c>
      <c r="C49" s="68">
        <f t="shared" ref="C49:AG49" si="34">C50+C54+C56+C60+C63+C66</f>
        <v>14</v>
      </c>
      <c r="D49" s="68">
        <f t="shared" si="34"/>
        <v>0</v>
      </c>
      <c r="E49" s="68">
        <f t="shared" si="34"/>
        <v>2</v>
      </c>
      <c r="F49" s="68">
        <f t="shared" si="34"/>
        <v>6</v>
      </c>
      <c r="G49" s="68">
        <f t="shared" si="34"/>
        <v>3</v>
      </c>
      <c r="H49" s="68">
        <f t="shared" si="34"/>
        <v>3</v>
      </c>
      <c r="I49" s="68">
        <f t="shared" si="34"/>
        <v>0</v>
      </c>
      <c r="J49" s="68">
        <f t="shared" si="34"/>
        <v>0</v>
      </c>
      <c r="K49" s="68">
        <f t="shared" si="34"/>
        <v>23107.4</v>
      </c>
      <c r="L49" s="68">
        <f t="shared" si="34"/>
        <v>0</v>
      </c>
      <c r="M49" s="72">
        <f t="shared" si="34"/>
        <v>0</v>
      </c>
      <c r="N49" s="68">
        <f t="shared" si="34"/>
        <v>24263.16</v>
      </c>
      <c r="O49" s="68">
        <f t="shared" si="34"/>
        <v>2930</v>
      </c>
      <c r="P49" s="68">
        <f t="shared" si="34"/>
        <v>2407.2</v>
      </c>
      <c r="Q49" s="68">
        <f t="shared" si="34"/>
        <v>26661.16</v>
      </c>
      <c r="R49" s="68">
        <f t="shared" si="34"/>
        <v>83</v>
      </c>
      <c r="S49" s="68">
        <f t="shared" si="34"/>
        <v>1500</v>
      </c>
      <c r="T49" s="68">
        <f t="shared" si="34"/>
        <v>38</v>
      </c>
      <c r="U49" s="68">
        <f t="shared" si="34"/>
        <v>1140</v>
      </c>
      <c r="V49" s="68">
        <f t="shared" si="34"/>
        <v>5337.2</v>
      </c>
      <c r="W49" s="68">
        <f t="shared" si="34"/>
        <v>3788</v>
      </c>
      <c r="X49" s="68">
        <f t="shared" si="34"/>
        <v>0</v>
      </c>
      <c r="Y49" s="68">
        <f t="shared" si="34"/>
        <v>1262</v>
      </c>
      <c r="Z49" s="68">
        <f t="shared" si="34"/>
        <v>287.2</v>
      </c>
      <c r="AA49" s="68">
        <f t="shared" si="34"/>
        <v>0</v>
      </c>
      <c r="AB49" s="68">
        <f t="shared" si="34"/>
        <v>0</v>
      </c>
      <c r="AC49" s="68">
        <f t="shared" si="34"/>
        <v>0</v>
      </c>
      <c r="AD49" s="68">
        <f t="shared" si="34"/>
        <v>0</v>
      </c>
      <c r="AE49" s="68">
        <f t="shared" si="34"/>
        <v>0</v>
      </c>
      <c r="AF49" s="68">
        <f t="shared" si="34"/>
        <v>2476</v>
      </c>
      <c r="AG49" s="68">
        <f t="shared" si="34"/>
        <v>2476</v>
      </c>
      <c r="AH49" s="81"/>
      <c r="AI49" s="81"/>
      <c r="AJ49" s="84"/>
    </row>
    <row r="50" s="45" customFormat="1" ht="18" spans="1:36">
      <c r="A50" s="68" t="s">
        <v>44</v>
      </c>
      <c r="B50" s="68" t="s">
        <v>175</v>
      </c>
      <c r="C50" s="68">
        <v>3</v>
      </c>
      <c r="D50" s="68"/>
      <c r="E50" s="68">
        <f t="shared" ref="E50:Z50" si="35">SUM(E51:E53)</f>
        <v>0</v>
      </c>
      <c r="F50" s="68">
        <f t="shared" si="35"/>
        <v>0</v>
      </c>
      <c r="G50" s="68">
        <f t="shared" si="35"/>
        <v>1</v>
      </c>
      <c r="H50" s="68">
        <f t="shared" si="35"/>
        <v>2</v>
      </c>
      <c r="I50" s="68">
        <f t="shared" si="35"/>
        <v>0</v>
      </c>
      <c r="J50" s="68">
        <f t="shared" si="35"/>
        <v>0</v>
      </c>
      <c r="K50" s="68">
        <f t="shared" si="35"/>
        <v>10264.4</v>
      </c>
      <c r="L50" s="68">
        <f t="shared" si="35"/>
        <v>0</v>
      </c>
      <c r="M50" s="72">
        <f t="shared" si="35"/>
        <v>0</v>
      </c>
      <c r="N50" s="68">
        <f t="shared" si="35"/>
        <v>9729.16</v>
      </c>
      <c r="O50" s="68">
        <f t="shared" si="35"/>
        <v>400</v>
      </c>
      <c r="P50" s="68">
        <f t="shared" si="35"/>
        <v>600</v>
      </c>
      <c r="Q50" s="68">
        <f t="shared" si="35"/>
        <v>12127.16</v>
      </c>
      <c r="R50" s="68">
        <f t="shared" si="35"/>
        <v>36</v>
      </c>
      <c r="S50" s="68">
        <f t="shared" si="35"/>
        <v>810</v>
      </c>
      <c r="T50" s="68">
        <f t="shared" si="35"/>
        <v>3</v>
      </c>
      <c r="U50" s="68">
        <f t="shared" si="35"/>
        <v>90</v>
      </c>
      <c r="V50" s="68">
        <f t="shared" si="35"/>
        <v>1000</v>
      </c>
      <c r="W50" s="68">
        <f t="shared" si="35"/>
        <v>800</v>
      </c>
      <c r="X50" s="68">
        <f t="shared" si="35"/>
        <v>0</v>
      </c>
      <c r="Y50" s="68">
        <f t="shared" si="35"/>
        <v>200</v>
      </c>
      <c r="Z50" s="68">
        <f t="shared" si="35"/>
        <v>0</v>
      </c>
      <c r="AA50" s="68"/>
      <c r="AB50" s="68"/>
      <c r="AC50" s="68"/>
      <c r="AD50" s="68"/>
      <c r="AE50" s="68"/>
      <c r="AF50" s="68">
        <f>SUM(AF51:AF53)</f>
        <v>623</v>
      </c>
      <c r="AG50" s="68">
        <f>SUM(AG51:AG53)</f>
        <v>623</v>
      </c>
      <c r="AH50" s="81"/>
      <c r="AI50" s="81"/>
      <c r="AJ50" s="84"/>
    </row>
    <row r="51" s="45" customFormat="1" ht="24" customHeight="1" spans="1:36">
      <c r="A51" s="38">
        <v>1</v>
      </c>
      <c r="B51" s="38" t="s">
        <v>176</v>
      </c>
      <c r="C51" s="38" t="s">
        <v>177</v>
      </c>
      <c r="D51" s="38" t="s">
        <v>178</v>
      </c>
      <c r="E51" s="38"/>
      <c r="F51" s="38"/>
      <c r="G51" s="38">
        <v>1</v>
      </c>
      <c r="H51" s="38"/>
      <c r="I51" s="38"/>
      <c r="J51" s="38"/>
      <c r="K51" s="38">
        <v>185</v>
      </c>
      <c r="L51" s="38"/>
      <c r="M51" s="73" t="s">
        <v>179</v>
      </c>
      <c r="N51" s="38">
        <v>1101</v>
      </c>
      <c r="O51" s="38">
        <v>300</v>
      </c>
      <c r="P51" s="38">
        <v>100</v>
      </c>
      <c r="Q51" s="38">
        <v>3499</v>
      </c>
      <c r="R51" s="38">
        <v>12</v>
      </c>
      <c r="S51" s="38">
        <f>U51</f>
        <v>90</v>
      </c>
      <c r="T51" s="38">
        <v>3</v>
      </c>
      <c r="U51" s="38">
        <v>90</v>
      </c>
      <c r="V51" s="38">
        <v>400</v>
      </c>
      <c r="W51" s="38">
        <v>300</v>
      </c>
      <c r="X51" s="38">
        <v>0</v>
      </c>
      <c r="Y51" s="38">
        <v>100</v>
      </c>
      <c r="Z51" s="38">
        <v>0</v>
      </c>
      <c r="AA51" s="38">
        <f>[1]参数!$B$1</f>
        <v>0.28</v>
      </c>
      <c r="AB51" s="38">
        <f>[1]参数!C3</f>
        <v>0.4</v>
      </c>
      <c r="AC51" s="38">
        <f>IF(T51&gt;=12,3200,IF(T51&gt;=9,2500,IF(T51&gt;=6,1800,1200)))</f>
        <v>1200</v>
      </c>
      <c r="AD51" s="38">
        <f t="shared" ref="AD51:AD53" si="36">ROUND(MIN(N51,AC51),0)</f>
        <v>1101</v>
      </c>
      <c r="AE51" s="38">
        <f t="shared" ref="AE51:AE53" si="37">AA51*AB51*AD51</f>
        <v>123.312</v>
      </c>
      <c r="AF51" s="38">
        <f t="shared" ref="AF51:AF53" si="38">ROUND(MIN(W51,AE51),0)</f>
        <v>123</v>
      </c>
      <c r="AG51" s="38">
        <f>ROUND((AF51*$AM$1),0)</f>
        <v>123</v>
      </c>
      <c r="AH51" s="82">
        <v>45444</v>
      </c>
      <c r="AI51" s="82">
        <v>45566</v>
      </c>
      <c r="AJ51" s="85"/>
    </row>
    <row r="52" s="48" customFormat="1" ht="24" customHeight="1" spans="1:36">
      <c r="A52" s="38">
        <v>2</v>
      </c>
      <c r="B52" s="38" t="s">
        <v>180</v>
      </c>
      <c r="C52" s="38" t="s">
        <v>181</v>
      </c>
      <c r="D52" s="38" t="s">
        <v>26</v>
      </c>
      <c r="E52" s="38"/>
      <c r="F52" s="38"/>
      <c r="G52" s="38"/>
      <c r="H52" s="38">
        <v>1</v>
      </c>
      <c r="I52" s="38"/>
      <c r="J52" s="38"/>
      <c r="K52" s="38">
        <v>5040</v>
      </c>
      <c r="L52" s="38"/>
      <c r="M52" s="73" t="s">
        <v>182</v>
      </c>
      <c r="N52" s="75">
        <v>4320</v>
      </c>
      <c r="O52" s="38">
        <v>50</v>
      </c>
      <c r="P52" s="38">
        <v>250</v>
      </c>
      <c r="Q52" s="75">
        <v>4320</v>
      </c>
      <c r="R52" s="38">
        <v>12</v>
      </c>
      <c r="S52" s="38">
        <v>360</v>
      </c>
      <c r="T52" s="38"/>
      <c r="U52" s="38"/>
      <c r="V52" s="38">
        <v>300</v>
      </c>
      <c r="W52" s="38">
        <v>250</v>
      </c>
      <c r="X52" s="38">
        <v>0</v>
      </c>
      <c r="Y52" s="38">
        <v>50</v>
      </c>
      <c r="Z52" s="38">
        <v>0</v>
      </c>
      <c r="AA52" s="38">
        <f>[1]参数!$B$1</f>
        <v>0.28</v>
      </c>
      <c r="AB52" s="38">
        <f>[1]参数!$B$4</f>
        <v>0.4</v>
      </c>
      <c r="AC52" s="38">
        <f t="shared" ref="AC52:AC55" si="39">IF(R52&gt;=12,3200,IF(R52&gt;=9,2500,IF(R52&gt;=6,1800,1200)))</f>
        <v>3200</v>
      </c>
      <c r="AD52" s="38">
        <f t="shared" si="36"/>
        <v>3200</v>
      </c>
      <c r="AE52" s="38">
        <f t="shared" si="37"/>
        <v>358.4</v>
      </c>
      <c r="AF52" s="38">
        <f t="shared" si="38"/>
        <v>250</v>
      </c>
      <c r="AG52" s="38">
        <f>ROUND((AF52*$AM$1),0)</f>
        <v>250</v>
      </c>
      <c r="AH52" s="82">
        <v>45383</v>
      </c>
      <c r="AI52" s="82">
        <v>45627</v>
      </c>
      <c r="AJ52" s="88"/>
    </row>
    <row r="53" s="48" customFormat="1" ht="37" customHeight="1" spans="1:36">
      <c r="A53" s="38">
        <v>3</v>
      </c>
      <c r="B53" s="38" t="s">
        <v>180</v>
      </c>
      <c r="C53" s="38" t="s">
        <v>183</v>
      </c>
      <c r="D53" s="38" t="s">
        <v>26</v>
      </c>
      <c r="E53" s="38"/>
      <c r="F53" s="38"/>
      <c r="G53" s="38"/>
      <c r="H53" s="38">
        <v>1</v>
      </c>
      <c r="I53" s="38"/>
      <c r="J53" s="38"/>
      <c r="K53" s="38">
        <v>5039.4</v>
      </c>
      <c r="L53" s="38"/>
      <c r="M53" s="73" t="s">
        <v>182</v>
      </c>
      <c r="N53" s="75">
        <v>4308.16</v>
      </c>
      <c r="O53" s="38">
        <v>50</v>
      </c>
      <c r="P53" s="38">
        <v>250</v>
      </c>
      <c r="Q53" s="75">
        <v>4308.16</v>
      </c>
      <c r="R53" s="38">
        <v>12</v>
      </c>
      <c r="S53" s="38">
        <v>360</v>
      </c>
      <c r="T53" s="38"/>
      <c r="U53" s="38"/>
      <c r="V53" s="38">
        <v>300</v>
      </c>
      <c r="W53" s="38">
        <v>250</v>
      </c>
      <c r="X53" s="38">
        <v>0</v>
      </c>
      <c r="Y53" s="38">
        <v>50</v>
      </c>
      <c r="Z53" s="38">
        <v>0</v>
      </c>
      <c r="AA53" s="38">
        <f>[1]参数!$B$1</f>
        <v>0.28</v>
      </c>
      <c r="AB53" s="38">
        <f>[1]参数!$B$4</f>
        <v>0.4</v>
      </c>
      <c r="AC53" s="38">
        <f t="shared" si="39"/>
        <v>3200</v>
      </c>
      <c r="AD53" s="38">
        <f t="shared" si="36"/>
        <v>3200</v>
      </c>
      <c r="AE53" s="38">
        <f t="shared" si="37"/>
        <v>358.4</v>
      </c>
      <c r="AF53" s="38">
        <f t="shared" si="38"/>
        <v>250</v>
      </c>
      <c r="AG53" s="38">
        <f>ROUND((AF53*$AM$1),0)</f>
        <v>250</v>
      </c>
      <c r="AH53" s="82">
        <v>45383</v>
      </c>
      <c r="AI53" s="82">
        <v>45627</v>
      </c>
      <c r="AJ53" s="88"/>
    </row>
    <row r="54" s="48" customFormat="1" ht="24" customHeight="1" spans="1:36">
      <c r="A54" s="68" t="s">
        <v>50</v>
      </c>
      <c r="B54" s="68" t="s">
        <v>184</v>
      </c>
      <c r="C54" s="68">
        <v>1</v>
      </c>
      <c r="D54" s="68"/>
      <c r="E54" s="68">
        <f t="shared" ref="E54:Z54" si="40">SUM(E55)</f>
        <v>0</v>
      </c>
      <c r="F54" s="68">
        <f t="shared" si="40"/>
        <v>0</v>
      </c>
      <c r="G54" s="68">
        <f t="shared" si="40"/>
        <v>0</v>
      </c>
      <c r="H54" s="68">
        <f t="shared" si="40"/>
        <v>1</v>
      </c>
      <c r="I54" s="68">
        <f t="shared" si="40"/>
        <v>0</v>
      </c>
      <c r="J54" s="68">
        <f t="shared" si="40"/>
        <v>0</v>
      </c>
      <c r="K54" s="68">
        <f t="shared" si="40"/>
        <v>4050</v>
      </c>
      <c r="L54" s="68">
        <f t="shared" si="40"/>
        <v>0</v>
      </c>
      <c r="M54" s="72">
        <f t="shared" si="40"/>
        <v>0</v>
      </c>
      <c r="N54" s="68">
        <f t="shared" si="40"/>
        <v>3240</v>
      </c>
      <c r="O54" s="68">
        <f t="shared" si="40"/>
        <v>200</v>
      </c>
      <c r="P54" s="68">
        <f t="shared" si="40"/>
        <v>200</v>
      </c>
      <c r="Q54" s="68">
        <f t="shared" si="40"/>
        <v>3240</v>
      </c>
      <c r="R54" s="68">
        <f t="shared" si="40"/>
        <v>9</v>
      </c>
      <c r="S54" s="68">
        <f t="shared" si="40"/>
        <v>270</v>
      </c>
      <c r="T54" s="68">
        <f t="shared" si="40"/>
        <v>0</v>
      </c>
      <c r="U54" s="68">
        <f t="shared" si="40"/>
        <v>0</v>
      </c>
      <c r="V54" s="68">
        <f t="shared" si="40"/>
        <v>400</v>
      </c>
      <c r="W54" s="68">
        <f t="shared" si="40"/>
        <v>320</v>
      </c>
      <c r="X54" s="68">
        <f t="shared" si="40"/>
        <v>0</v>
      </c>
      <c r="Y54" s="68">
        <f t="shared" si="40"/>
        <v>0</v>
      </c>
      <c r="Z54" s="68">
        <f t="shared" si="40"/>
        <v>80</v>
      </c>
      <c r="AA54" s="68"/>
      <c r="AB54" s="68"/>
      <c r="AC54" s="68"/>
      <c r="AD54" s="68"/>
      <c r="AE54" s="68"/>
      <c r="AF54" s="68">
        <f>SUM(AF55)</f>
        <v>280</v>
      </c>
      <c r="AG54" s="68">
        <f>SUM(AG55)</f>
        <v>280</v>
      </c>
      <c r="AH54" s="81"/>
      <c r="AI54" s="81"/>
      <c r="AJ54" s="89"/>
    </row>
    <row r="55" s="48" customFormat="1" ht="33" customHeight="1" spans="1:36">
      <c r="A55" s="38">
        <v>1</v>
      </c>
      <c r="B55" s="38" t="s">
        <v>185</v>
      </c>
      <c r="C55" s="38" t="s">
        <v>186</v>
      </c>
      <c r="D55" s="38" t="s">
        <v>26</v>
      </c>
      <c r="E55" s="38"/>
      <c r="F55" s="38"/>
      <c r="G55" s="38"/>
      <c r="H55" s="38">
        <v>1</v>
      </c>
      <c r="I55" s="38"/>
      <c r="J55" s="38"/>
      <c r="K55" s="38">
        <v>4050</v>
      </c>
      <c r="L55" s="69"/>
      <c r="M55" s="73" t="s">
        <v>187</v>
      </c>
      <c r="N55" s="38">
        <v>3240</v>
      </c>
      <c r="O55" s="38">
        <v>200</v>
      </c>
      <c r="P55" s="38">
        <v>200</v>
      </c>
      <c r="Q55" s="38">
        <v>3240</v>
      </c>
      <c r="R55" s="38">
        <v>9</v>
      </c>
      <c r="S55" s="38">
        <v>270</v>
      </c>
      <c r="T55" s="38"/>
      <c r="U55" s="38"/>
      <c r="V55" s="38">
        <v>400</v>
      </c>
      <c r="W55" s="38">
        <v>320</v>
      </c>
      <c r="X55" s="38"/>
      <c r="Y55" s="38"/>
      <c r="Z55" s="38">
        <v>80</v>
      </c>
      <c r="AA55" s="38">
        <f>[1]参数!$B$1</f>
        <v>0.28</v>
      </c>
      <c r="AB55" s="38">
        <f>[1]参数!$B$4</f>
        <v>0.4</v>
      </c>
      <c r="AC55" s="38">
        <f t="shared" si="39"/>
        <v>2500</v>
      </c>
      <c r="AD55" s="38">
        <f>ROUND(MIN(N55,AC55),0)</f>
        <v>2500</v>
      </c>
      <c r="AE55" s="38">
        <f>AA55*AB55*AD55</f>
        <v>280</v>
      </c>
      <c r="AF55" s="38">
        <f>ROUND(MIN(W55,AE55),0)</f>
        <v>280</v>
      </c>
      <c r="AG55" s="38">
        <f>ROUND((AF55*$AM$1),0)</f>
        <v>280</v>
      </c>
      <c r="AH55" s="82">
        <v>45474</v>
      </c>
      <c r="AI55" s="82">
        <v>45627</v>
      </c>
      <c r="AJ55" s="88"/>
    </row>
    <row r="56" s="50" customFormat="1" ht="18" spans="1:36">
      <c r="A56" s="68" t="s">
        <v>59</v>
      </c>
      <c r="B56" s="68" t="s">
        <v>188</v>
      </c>
      <c r="C56" s="68">
        <v>3</v>
      </c>
      <c r="D56" s="68"/>
      <c r="E56" s="68">
        <f t="shared" ref="E56:Z56" si="41">SUM(E57:E59)</f>
        <v>2</v>
      </c>
      <c r="F56" s="68">
        <f t="shared" si="41"/>
        <v>0</v>
      </c>
      <c r="G56" s="68">
        <f t="shared" si="41"/>
        <v>1</v>
      </c>
      <c r="H56" s="68">
        <f t="shared" si="41"/>
        <v>0</v>
      </c>
      <c r="I56" s="68">
        <f t="shared" si="41"/>
        <v>0</v>
      </c>
      <c r="J56" s="68">
        <f t="shared" si="41"/>
        <v>0</v>
      </c>
      <c r="K56" s="68">
        <f t="shared" si="41"/>
        <v>8210</v>
      </c>
      <c r="L56" s="68">
        <f t="shared" si="41"/>
        <v>0</v>
      </c>
      <c r="M56" s="72">
        <f t="shared" si="41"/>
        <v>0</v>
      </c>
      <c r="N56" s="68">
        <f t="shared" si="41"/>
        <v>9545</v>
      </c>
      <c r="O56" s="68">
        <f t="shared" si="41"/>
        <v>1780</v>
      </c>
      <c r="P56" s="68">
        <f t="shared" si="41"/>
        <v>0</v>
      </c>
      <c r="Q56" s="68">
        <f t="shared" si="41"/>
        <v>9545</v>
      </c>
      <c r="R56" s="68">
        <f t="shared" si="41"/>
        <v>20</v>
      </c>
      <c r="S56" s="68">
        <f t="shared" si="41"/>
        <v>150</v>
      </c>
      <c r="T56" s="68">
        <f t="shared" si="41"/>
        <v>26</v>
      </c>
      <c r="U56" s="68">
        <f t="shared" si="41"/>
        <v>780</v>
      </c>
      <c r="V56" s="68">
        <f t="shared" si="41"/>
        <v>1780</v>
      </c>
      <c r="W56" s="68">
        <f t="shared" si="41"/>
        <v>1068</v>
      </c>
      <c r="X56" s="68">
        <f t="shared" si="41"/>
        <v>0</v>
      </c>
      <c r="Y56" s="68">
        <f t="shared" si="41"/>
        <v>712</v>
      </c>
      <c r="Z56" s="68">
        <f t="shared" si="41"/>
        <v>0</v>
      </c>
      <c r="AA56" s="68"/>
      <c r="AB56" s="68"/>
      <c r="AC56" s="68"/>
      <c r="AD56" s="68"/>
      <c r="AE56" s="68"/>
      <c r="AF56" s="68">
        <f>SUM(AF57:AF59)</f>
        <v>510</v>
      </c>
      <c r="AG56" s="68">
        <f>SUM(AG57:AG59)</f>
        <v>510</v>
      </c>
      <c r="AH56" s="81"/>
      <c r="AI56" s="81"/>
      <c r="AJ56" s="83"/>
    </row>
    <row r="57" s="50" customFormat="1" ht="23" customHeight="1" spans="1:36">
      <c r="A57" s="38">
        <v>1</v>
      </c>
      <c r="B57" s="38" t="s">
        <v>189</v>
      </c>
      <c r="C57" s="38" t="s">
        <v>190</v>
      </c>
      <c r="D57" s="38" t="s">
        <v>87</v>
      </c>
      <c r="E57" s="38">
        <v>1</v>
      </c>
      <c r="F57" s="38"/>
      <c r="G57" s="38"/>
      <c r="H57" s="38"/>
      <c r="I57" s="38"/>
      <c r="J57" s="38"/>
      <c r="K57" s="38">
        <v>890</v>
      </c>
      <c r="L57" s="38"/>
      <c r="M57" s="73" t="s">
        <v>191</v>
      </c>
      <c r="N57" s="38">
        <v>2173</v>
      </c>
      <c r="O57" s="38">
        <v>300</v>
      </c>
      <c r="P57" s="38"/>
      <c r="Q57" s="38">
        <v>2173</v>
      </c>
      <c r="R57" s="38"/>
      <c r="S57" s="38"/>
      <c r="T57" s="38">
        <v>12</v>
      </c>
      <c r="U57" s="38">
        <v>360</v>
      </c>
      <c r="V57" s="38">
        <v>300</v>
      </c>
      <c r="W57" s="38">
        <v>180</v>
      </c>
      <c r="X57" s="38"/>
      <c r="Y57" s="38">
        <v>120</v>
      </c>
      <c r="Z57" s="38"/>
      <c r="AA57" s="38">
        <f>[1]参数!$D$1</f>
        <v>0.096</v>
      </c>
      <c r="AB57" s="38"/>
      <c r="AC57" s="38">
        <f>IF((T57)&gt;=12,3200,IF((T57)&gt;=9,2500,IF((T57)&gt;=6,1800,1200)))</f>
        <v>3200</v>
      </c>
      <c r="AD57" s="38">
        <f>ROUND(MIN(AC57,N57),0)</f>
        <v>2173</v>
      </c>
      <c r="AE57" s="38">
        <f>AA57*AD57</f>
        <v>208.608</v>
      </c>
      <c r="AF57" s="38">
        <f t="shared" ref="AF57:AF62" si="42">ROUND(MIN(AE57,W57),0)</f>
        <v>180</v>
      </c>
      <c r="AG57" s="38">
        <f>ROUND((AF57*$AM$1),0)</f>
        <v>180</v>
      </c>
      <c r="AH57" s="82">
        <v>45444</v>
      </c>
      <c r="AI57" s="82">
        <v>45534</v>
      </c>
      <c r="AJ57" s="83" t="s">
        <v>129</v>
      </c>
    </row>
    <row r="58" s="50" customFormat="1" ht="23" customHeight="1" spans="1:36">
      <c r="A58" s="38">
        <v>2</v>
      </c>
      <c r="B58" s="38" t="s">
        <v>192</v>
      </c>
      <c r="C58" s="38" t="s">
        <v>193</v>
      </c>
      <c r="D58" s="38" t="s">
        <v>87</v>
      </c>
      <c r="E58" s="38">
        <v>1</v>
      </c>
      <c r="F58" s="38"/>
      <c r="G58" s="38"/>
      <c r="H58" s="38"/>
      <c r="I58" s="38"/>
      <c r="J58" s="38"/>
      <c r="K58" s="38">
        <v>1986</v>
      </c>
      <c r="L58" s="38"/>
      <c r="M58" s="73" t="s">
        <v>191</v>
      </c>
      <c r="N58" s="38">
        <v>2038</v>
      </c>
      <c r="O58" s="38">
        <v>480</v>
      </c>
      <c r="P58" s="38"/>
      <c r="Q58" s="38">
        <v>2038</v>
      </c>
      <c r="R58" s="38"/>
      <c r="S58" s="38"/>
      <c r="T58" s="38">
        <v>9</v>
      </c>
      <c r="U58" s="38">
        <v>270</v>
      </c>
      <c r="V58" s="38">
        <v>480</v>
      </c>
      <c r="W58" s="38">
        <v>288</v>
      </c>
      <c r="X58" s="38"/>
      <c r="Y58" s="38">
        <v>192</v>
      </c>
      <c r="Z58" s="38"/>
      <c r="AA58" s="38">
        <f>[1]参数!$D$1</f>
        <v>0.096</v>
      </c>
      <c r="AB58" s="38"/>
      <c r="AC58" s="38">
        <f>IF((T58)&gt;=12,3200,IF((T58)&gt;=9,2500,IF((T58)&gt;=6,1800,1200)))</f>
        <v>2500</v>
      </c>
      <c r="AD58" s="38">
        <f>ROUND(MIN(AC58,N58),0)</f>
        <v>2038</v>
      </c>
      <c r="AE58" s="38">
        <f>AA58*AD58</f>
        <v>195.648</v>
      </c>
      <c r="AF58" s="38">
        <f t="shared" si="42"/>
        <v>196</v>
      </c>
      <c r="AG58" s="38">
        <f>ROUND((AF58*$AM$1),0)</f>
        <v>196</v>
      </c>
      <c r="AH58" s="82">
        <v>45444</v>
      </c>
      <c r="AI58" s="82">
        <v>45535</v>
      </c>
      <c r="AJ58" s="83" t="s">
        <v>129</v>
      </c>
    </row>
    <row r="59" s="51" customFormat="1" ht="36" customHeight="1" spans="1:36">
      <c r="A59" s="38">
        <v>3</v>
      </c>
      <c r="B59" s="38" t="s">
        <v>194</v>
      </c>
      <c r="C59" s="38" t="s">
        <v>195</v>
      </c>
      <c r="D59" s="38" t="s">
        <v>178</v>
      </c>
      <c r="E59" s="38"/>
      <c r="F59" s="38"/>
      <c r="G59" s="38">
        <v>1</v>
      </c>
      <c r="H59" s="38"/>
      <c r="I59" s="38"/>
      <c r="J59" s="38"/>
      <c r="K59" s="38">
        <v>5334</v>
      </c>
      <c r="L59" s="38"/>
      <c r="M59" s="73" t="s">
        <v>196</v>
      </c>
      <c r="N59" s="38">
        <v>5334</v>
      </c>
      <c r="O59" s="38">
        <v>1000</v>
      </c>
      <c r="P59" s="38"/>
      <c r="Q59" s="38">
        <v>5334</v>
      </c>
      <c r="R59" s="38">
        <v>20</v>
      </c>
      <c r="S59" s="38">
        <f>U59</f>
        <v>150</v>
      </c>
      <c r="T59" s="38">
        <v>5</v>
      </c>
      <c r="U59" s="38">
        <v>150</v>
      </c>
      <c r="V59" s="38">
        <v>1000</v>
      </c>
      <c r="W59" s="38">
        <v>600</v>
      </c>
      <c r="X59" s="38"/>
      <c r="Y59" s="38">
        <v>400</v>
      </c>
      <c r="Z59" s="38"/>
      <c r="AA59" s="38">
        <f>[1]参数!$B$1</f>
        <v>0.28</v>
      </c>
      <c r="AB59" s="38">
        <f>[1]参数!C3</f>
        <v>0.4</v>
      </c>
      <c r="AC59" s="38">
        <f>IF(T59&gt;=12,3200,IF(T59&gt;=9,2500,IF(T59&gt;=6,1800,1200)))</f>
        <v>1200</v>
      </c>
      <c r="AD59" s="38">
        <f>ROUND(MIN(N59,AC59),0)</f>
        <v>1200</v>
      </c>
      <c r="AE59" s="38">
        <f>AA59*AB59*AD59</f>
        <v>134.4</v>
      </c>
      <c r="AF59" s="38">
        <f>ROUND(MIN(W59,AE59),0)</f>
        <v>134</v>
      </c>
      <c r="AG59" s="38">
        <f>ROUND((AF59*$AM$1),0)</f>
        <v>134</v>
      </c>
      <c r="AH59" s="82">
        <v>45383</v>
      </c>
      <c r="AI59" s="82">
        <v>45536</v>
      </c>
      <c r="AJ59" s="83"/>
    </row>
    <row r="60" s="45" customFormat="1" ht="23" customHeight="1" spans="1:36">
      <c r="A60" s="68" t="s">
        <v>66</v>
      </c>
      <c r="B60" s="68" t="s">
        <v>197</v>
      </c>
      <c r="C60" s="68">
        <v>2</v>
      </c>
      <c r="D60" s="69"/>
      <c r="E60" s="68">
        <f t="shared" ref="E60:Z60" si="43">SUM(E61:E62)</f>
        <v>0</v>
      </c>
      <c r="F60" s="68">
        <f t="shared" si="43"/>
        <v>2</v>
      </c>
      <c r="G60" s="68">
        <f t="shared" si="43"/>
        <v>0</v>
      </c>
      <c r="H60" s="68">
        <f t="shared" si="43"/>
        <v>0</v>
      </c>
      <c r="I60" s="68">
        <f t="shared" si="43"/>
        <v>0</v>
      </c>
      <c r="J60" s="68">
        <f t="shared" si="43"/>
        <v>0</v>
      </c>
      <c r="K60" s="68">
        <f t="shared" si="43"/>
        <v>0</v>
      </c>
      <c r="L60" s="68">
        <f t="shared" si="43"/>
        <v>0</v>
      </c>
      <c r="M60" s="72">
        <f t="shared" si="43"/>
        <v>0</v>
      </c>
      <c r="N60" s="68">
        <f t="shared" si="43"/>
        <v>0</v>
      </c>
      <c r="O60" s="68">
        <f t="shared" si="43"/>
        <v>0</v>
      </c>
      <c r="P60" s="68">
        <f t="shared" si="43"/>
        <v>160</v>
      </c>
      <c r="Q60" s="68">
        <f t="shared" si="43"/>
        <v>0</v>
      </c>
      <c r="R60" s="68">
        <f t="shared" si="43"/>
        <v>0</v>
      </c>
      <c r="S60" s="68">
        <f t="shared" si="43"/>
        <v>0</v>
      </c>
      <c r="T60" s="68">
        <f t="shared" si="43"/>
        <v>0</v>
      </c>
      <c r="U60" s="68">
        <f t="shared" si="43"/>
        <v>0</v>
      </c>
      <c r="V60" s="68">
        <f t="shared" si="43"/>
        <v>160</v>
      </c>
      <c r="W60" s="68">
        <f t="shared" si="43"/>
        <v>160</v>
      </c>
      <c r="X60" s="68">
        <f t="shared" si="43"/>
        <v>0</v>
      </c>
      <c r="Y60" s="68">
        <f t="shared" si="43"/>
        <v>0</v>
      </c>
      <c r="Z60" s="68">
        <f t="shared" si="43"/>
        <v>0</v>
      </c>
      <c r="AA60" s="68"/>
      <c r="AB60" s="68"/>
      <c r="AC60" s="68"/>
      <c r="AD60" s="68"/>
      <c r="AE60" s="68"/>
      <c r="AF60" s="68">
        <f>SUM(AF61:AF62)</f>
        <v>136</v>
      </c>
      <c r="AG60" s="68">
        <f>SUM(AG61:AG62)</f>
        <v>136</v>
      </c>
      <c r="AH60" s="81"/>
      <c r="AI60" s="81"/>
      <c r="AJ60" s="84"/>
    </row>
    <row r="61" s="45" customFormat="1" ht="23" customHeight="1" spans="1:36">
      <c r="A61" s="38">
        <v>1</v>
      </c>
      <c r="B61" s="70" t="s">
        <v>197</v>
      </c>
      <c r="C61" s="70" t="s">
        <v>198</v>
      </c>
      <c r="D61" s="38" t="s">
        <v>70</v>
      </c>
      <c r="E61" s="69"/>
      <c r="F61" s="69">
        <v>1</v>
      </c>
      <c r="G61" s="69"/>
      <c r="H61" s="69"/>
      <c r="I61" s="69"/>
      <c r="J61" s="69"/>
      <c r="K61" s="69"/>
      <c r="L61" s="70"/>
      <c r="M61" s="76" t="s">
        <v>199</v>
      </c>
      <c r="N61" s="69"/>
      <c r="O61" s="69"/>
      <c r="P61" s="70">
        <v>80</v>
      </c>
      <c r="Q61" s="69"/>
      <c r="R61" s="69"/>
      <c r="S61" s="69"/>
      <c r="T61" s="69"/>
      <c r="U61" s="69"/>
      <c r="V61" s="70">
        <v>80</v>
      </c>
      <c r="W61" s="70">
        <v>80</v>
      </c>
      <c r="X61" s="70"/>
      <c r="Y61" s="70"/>
      <c r="Z61" s="70"/>
      <c r="AA61" s="69"/>
      <c r="AB61" s="69"/>
      <c r="AC61" s="69"/>
      <c r="AD61" s="69"/>
      <c r="AE61" s="38">
        <f>INT(IF(V61&lt;[1]参数!$F$9,V61*[1]参数!$F$10,[1]参数!$F$9*[1]参数!$F$10+(V61-[1]参数!$F$9)*[1]参数!$G$10))</f>
        <v>68</v>
      </c>
      <c r="AF61" s="38">
        <f t="shared" si="42"/>
        <v>68</v>
      </c>
      <c r="AG61" s="38">
        <f>ROUND((AF61*$AM$1),0)</f>
        <v>68</v>
      </c>
      <c r="AH61" s="90">
        <v>45413</v>
      </c>
      <c r="AI61" s="90">
        <v>45474</v>
      </c>
      <c r="AJ61" s="91" t="s">
        <v>200</v>
      </c>
    </row>
    <row r="62" s="45" customFormat="1" ht="23" customHeight="1" spans="1:36">
      <c r="A62" s="38">
        <v>2</v>
      </c>
      <c r="B62" s="70" t="s">
        <v>197</v>
      </c>
      <c r="C62" s="70" t="s">
        <v>201</v>
      </c>
      <c r="D62" s="38" t="s">
        <v>70</v>
      </c>
      <c r="E62" s="69"/>
      <c r="F62" s="69">
        <v>1</v>
      </c>
      <c r="G62" s="69"/>
      <c r="H62" s="69"/>
      <c r="I62" s="69"/>
      <c r="J62" s="69"/>
      <c r="K62" s="69"/>
      <c r="L62" s="70"/>
      <c r="M62" s="76" t="s">
        <v>202</v>
      </c>
      <c r="N62" s="69"/>
      <c r="O62" s="69"/>
      <c r="P62" s="70">
        <v>80</v>
      </c>
      <c r="Q62" s="69"/>
      <c r="R62" s="69"/>
      <c r="S62" s="69"/>
      <c r="T62" s="69"/>
      <c r="U62" s="69"/>
      <c r="V62" s="70">
        <v>80</v>
      </c>
      <c r="W62" s="70">
        <v>80</v>
      </c>
      <c r="X62" s="70"/>
      <c r="Y62" s="70"/>
      <c r="Z62" s="70"/>
      <c r="AA62" s="69"/>
      <c r="AB62" s="69"/>
      <c r="AC62" s="69"/>
      <c r="AD62" s="69"/>
      <c r="AE62" s="38">
        <f>INT(IF(V62&lt;[1]参数!$F$9,V62*[1]参数!$F$10,[1]参数!$F$9*[1]参数!$F$10+(V62-[1]参数!$F$9)*[1]参数!$G$10))</f>
        <v>68</v>
      </c>
      <c r="AF62" s="38">
        <f t="shared" si="42"/>
        <v>68</v>
      </c>
      <c r="AG62" s="38">
        <f>ROUND((AF62*$AM$1),0)</f>
        <v>68</v>
      </c>
      <c r="AH62" s="90">
        <v>45413</v>
      </c>
      <c r="AI62" s="90">
        <v>45474</v>
      </c>
      <c r="AJ62" s="91" t="s">
        <v>200</v>
      </c>
    </row>
    <row r="63" s="45" customFormat="1" ht="23" customHeight="1" spans="1:36">
      <c r="A63" s="68" t="s">
        <v>83</v>
      </c>
      <c r="B63" s="68" t="s">
        <v>203</v>
      </c>
      <c r="C63" s="68">
        <v>2</v>
      </c>
      <c r="D63" s="69"/>
      <c r="E63" s="68">
        <f t="shared" ref="E63:Z63" si="44">SUM(E64:E65)</f>
        <v>0</v>
      </c>
      <c r="F63" s="68">
        <f t="shared" si="44"/>
        <v>2</v>
      </c>
      <c r="G63" s="68">
        <f t="shared" si="44"/>
        <v>0</v>
      </c>
      <c r="H63" s="68">
        <f t="shared" si="44"/>
        <v>0</v>
      </c>
      <c r="I63" s="68">
        <f t="shared" si="44"/>
        <v>0</v>
      </c>
      <c r="J63" s="68">
        <f t="shared" si="44"/>
        <v>0</v>
      </c>
      <c r="K63" s="68">
        <f t="shared" si="44"/>
        <v>0</v>
      </c>
      <c r="L63" s="68">
        <f t="shared" si="44"/>
        <v>0</v>
      </c>
      <c r="M63" s="72">
        <f t="shared" si="44"/>
        <v>0</v>
      </c>
      <c r="N63" s="68">
        <f t="shared" si="44"/>
        <v>0</v>
      </c>
      <c r="O63" s="68">
        <f t="shared" si="44"/>
        <v>0</v>
      </c>
      <c r="P63" s="68">
        <f t="shared" si="44"/>
        <v>761</v>
      </c>
      <c r="Q63" s="68">
        <f t="shared" si="44"/>
        <v>0</v>
      </c>
      <c r="R63" s="68">
        <f t="shared" si="44"/>
        <v>0</v>
      </c>
      <c r="S63" s="68">
        <f t="shared" si="44"/>
        <v>0</v>
      </c>
      <c r="T63" s="68">
        <f t="shared" si="44"/>
        <v>0</v>
      </c>
      <c r="U63" s="68">
        <f t="shared" si="44"/>
        <v>0</v>
      </c>
      <c r="V63" s="68">
        <f t="shared" si="44"/>
        <v>761</v>
      </c>
      <c r="W63" s="68">
        <f t="shared" si="44"/>
        <v>350</v>
      </c>
      <c r="X63" s="68">
        <f t="shared" si="44"/>
        <v>0</v>
      </c>
      <c r="Y63" s="68">
        <f t="shared" si="44"/>
        <v>350</v>
      </c>
      <c r="Z63" s="68">
        <f t="shared" si="44"/>
        <v>61</v>
      </c>
      <c r="AA63" s="68"/>
      <c r="AB63" s="68"/>
      <c r="AC63" s="68"/>
      <c r="AD63" s="68"/>
      <c r="AE63" s="68"/>
      <c r="AF63" s="68">
        <f>SUM(AF64:AF65)</f>
        <v>350</v>
      </c>
      <c r="AG63" s="68">
        <f>SUM(AG64:AG65)</f>
        <v>350</v>
      </c>
      <c r="AH63" s="81"/>
      <c r="AI63" s="81"/>
      <c r="AJ63" s="84"/>
    </row>
    <row r="64" s="45" customFormat="1" ht="23" customHeight="1" spans="1:36">
      <c r="A64" s="38">
        <v>1</v>
      </c>
      <c r="B64" s="38" t="s">
        <v>203</v>
      </c>
      <c r="C64" s="38" t="s">
        <v>204</v>
      </c>
      <c r="D64" s="38" t="s">
        <v>70</v>
      </c>
      <c r="E64" s="38"/>
      <c r="F64" s="38">
        <v>1</v>
      </c>
      <c r="G64" s="38"/>
      <c r="H64" s="38"/>
      <c r="I64" s="38"/>
      <c r="J64" s="38"/>
      <c r="K64" s="38"/>
      <c r="L64" s="38" t="s">
        <v>205</v>
      </c>
      <c r="M64" s="73" t="s">
        <v>206</v>
      </c>
      <c r="N64" s="38"/>
      <c r="O64" s="38"/>
      <c r="P64" s="38">
        <v>331</v>
      </c>
      <c r="Q64" s="38"/>
      <c r="R64" s="38"/>
      <c r="S64" s="38"/>
      <c r="T64" s="38"/>
      <c r="U64" s="38"/>
      <c r="V64" s="38">
        <v>331</v>
      </c>
      <c r="W64" s="38">
        <v>150</v>
      </c>
      <c r="X64" s="38"/>
      <c r="Y64" s="38">
        <v>150</v>
      </c>
      <c r="Z64" s="38">
        <v>31</v>
      </c>
      <c r="AA64" s="38"/>
      <c r="AB64" s="38"/>
      <c r="AC64" s="38"/>
      <c r="AD64" s="38"/>
      <c r="AE64" s="38">
        <f>INT(IF(V64&lt;[1]参数!$F$9,V64*[1]参数!$F$10,[1]参数!$F$9*[1]参数!$F$10+(V64-[1]参数!$F$9)*[1]参数!$G$10))</f>
        <v>202</v>
      </c>
      <c r="AF64" s="38">
        <f t="shared" ref="AF64:AF69" si="45">ROUND(MIN(AE64,W64),0)</f>
        <v>150</v>
      </c>
      <c r="AG64" s="38">
        <f>ROUND((AF64*$AM$1),0)</f>
        <v>150</v>
      </c>
      <c r="AH64" s="82">
        <v>45292</v>
      </c>
      <c r="AI64" s="82">
        <v>45505</v>
      </c>
      <c r="AJ64" s="88"/>
    </row>
    <row r="65" s="45" customFormat="1" ht="23" customHeight="1" spans="1:36">
      <c r="A65" s="38">
        <v>2</v>
      </c>
      <c r="B65" s="38" t="s">
        <v>203</v>
      </c>
      <c r="C65" s="38" t="s">
        <v>207</v>
      </c>
      <c r="D65" s="38" t="s">
        <v>70</v>
      </c>
      <c r="E65" s="38"/>
      <c r="F65" s="38">
        <v>1</v>
      </c>
      <c r="G65" s="38"/>
      <c r="H65" s="38"/>
      <c r="I65" s="38"/>
      <c r="J65" s="38"/>
      <c r="K65" s="38"/>
      <c r="L65" s="38" t="s">
        <v>205</v>
      </c>
      <c r="M65" s="73" t="s">
        <v>208</v>
      </c>
      <c r="N65" s="38"/>
      <c r="O65" s="38"/>
      <c r="P65" s="38">
        <v>430</v>
      </c>
      <c r="Q65" s="38"/>
      <c r="R65" s="38"/>
      <c r="S65" s="38"/>
      <c r="T65" s="38"/>
      <c r="U65" s="38"/>
      <c r="V65" s="38">
        <v>430</v>
      </c>
      <c r="W65" s="38">
        <v>200</v>
      </c>
      <c r="X65" s="38"/>
      <c r="Y65" s="38">
        <v>200</v>
      </c>
      <c r="Z65" s="38">
        <v>30</v>
      </c>
      <c r="AA65" s="38"/>
      <c r="AB65" s="38"/>
      <c r="AC65" s="38"/>
      <c r="AD65" s="38"/>
      <c r="AE65" s="38">
        <f>INT(IF(V65&lt;[1]参数!$F$9,V65*[1]参数!$F$10,[1]参数!$F$9*[1]参数!$F$10+(V65-[1]参数!$F$9)*[1]参数!$G$10))</f>
        <v>227</v>
      </c>
      <c r="AF65" s="38">
        <f t="shared" si="45"/>
        <v>200</v>
      </c>
      <c r="AG65" s="38">
        <f>ROUND((AF65*$AM$1),0)</f>
        <v>200</v>
      </c>
      <c r="AH65" s="82">
        <v>45292</v>
      </c>
      <c r="AI65" s="82">
        <v>45505</v>
      </c>
      <c r="AJ65" s="88"/>
    </row>
    <row r="66" s="45" customFormat="1" ht="23" customHeight="1" spans="1:36">
      <c r="A66" s="68" t="s">
        <v>93</v>
      </c>
      <c r="B66" s="68" t="s">
        <v>209</v>
      </c>
      <c r="C66" s="68">
        <v>3</v>
      </c>
      <c r="D66" s="69"/>
      <c r="E66" s="68">
        <f t="shared" ref="E66:Z66" si="46">SUM(E67:E69)</f>
        <v>0</v>
      </c>
      <c r="F66" s="68">
        <f t="shared" si="46"/>
        <v>2</v>
      </c>
      <c r="G66" s="68">
        <f t="shared" si="46"/>
        <v>1</v>
      </c>
      <c r="H66" s="68">
        <f t="shared" si="46"/>
        <v>0</v>
      </c>
      <c r="I66" s="68">
        <f t="shared" si="46"/>
        <v>0</v>
      </c>
      <c r="J66" s="68">
        <f t="shared" si="46"/>
        <v>0</v>
      </c>
      <c r="K66" s="68">
        <f t="shared" si="46"/>
        <v>583</v>
      </c>
      <c r="L66" s="68">
        <f t="shared" si="46"/>
        <v>0</v>
      </c>
      <c r="M66" s="72">
        <f t="shared" si="46"/>
        <v>0</v>
      </c>
      <c r="N66" s="68">
        <f t="shared" si="46"/>
        <v>1749</v>
      </c>
      <c r="O66" s="68">
        <f t="shared" si="46"/>
        <v>550</v>
      </c>
      <c r="P66" s="68">
        <f t="shared" si="46"/>
        <v>686.2</v>
      </c>
      <c r="Q66" s="68">
        <f t="shared" si="46"/>
        <v>1749</v>
      </c>
      <c r="R66" s="68">
        <f t="shared" si="46"/>
        <v>18</v>
      </c>
      <c r="S66" s="68">
        <f t="shared" si="46"/>
        <v>270</v>
      </c>
      <c r="T66" s="68">
        <f t="shared" si="46"/>
        <v>9</v>
      </c>
      <c r="U66" s="68">
        <f t="shared" si="46"/>
        <v>270</v>
      </c>
      <c r="V66" s="68">
        <f t="shared" si="46"/>
        <v>1236.2</v>
      </c>
      <c r="W66" s="68">
        <f t="shared" si="46"/>
        <v>1090</v>
      </c>
      <c r="X66" s="68">
        <f t="shared" si="46"/>
        <v>0</v>
      </c>
      <c r="Y66" s="68">
        <f t="shared" si="46"/>
        <v>0</v>
      </c>
      <c r="Z66" s="68">
        <f t="shared" si="46"/>
        <v>146.2</v>
      </c>
      <c r="AA66" s="68"/>
      <c r="AB66" s="68"/>
      <c r="AC66" s="68"/>
      <c r="AD66" s="68"/>
      <c r="AE66" s="68"/>
      <c r="AF66" s="68">
        <f>SUM(AF67:AF69)</f>
        <v>577</v>
      </c>
      <c r="AG66" s="68">
        <f>SUM(AG67:AG69)</f>
        <v>577</v>
      </c>
      <c r="AH66" s="81"/>
      <c r="AI66" s="81"/>
      <c r="AJ66" s="84"/>
    </row>
    <row r="67" s="52" customFormat="1" ht="33" customHeight="1" spans="1:36">
      <c r="A67" s="38">
        <v>1</v>
      </c>
      <c r="B67" s="38" t="s">
        <v>210</v>
      </c>
      <c r="C67" s="38" t="s">
        <v>211</v>
      </c>
      <c r="D67" s="38" t="s">
        <v>178</v>
      </c>
      <c r="E67" s="38"/>
      <c r="F67" s="38"/>
      <c r="G67" s="38">
        <v>1</v>
      </c>
      <c r="H67" s="38"/>
      <c r="I67" s="38"/>
      <c r="J67" s="38"/>
      <c r="K67" s="38">
        <v>583</v>
      </c>
      <c r="L67" s="38" t="s">
        <v>212</v>
      </c>
      <c r="M67" s="73" t="s">
        <v>213</v>
      </c>
      <c r="N67" s="38">
        <v>1749</v>
      </c>
      <c r="O67" s="38">
        <v>550</v>
      </c>
      <c r="P67" s="38">
        <v>80</v>
      </c>
      <c r="Q67" s="38">
        <v>1749</v>
      </c>
      <c r="R67" s="38">
        <v>18</v>
      </c>
      <c r="S67" s="38">
        <f>U67</f>
        <v>270</v>
      </c>
      <c r="T67" s="38">
        <v>9</v>
      </c>
      <c r="U67" s="38">
        <v>270</v>
      </c>
      <c r="V67" s="38">
        <v>630</v>
      </c>
      <c r="W67" s="38">
        <v>550</v>
      </c>
      <c r="X67" s="38"/>
      <c r="Y67" s="38"/>
      <c r="Z67" s="38">
        <v>80</v>
      </c>
      <c r="AA67" s="38">
        <f>[1]参数!$B$1</f>
        <v>0.28</v>
      </c>
      <c r="AB67" s="38">
        <f>[1]参数!C3</f>
        <v>0.4</v>
      </c>
      <c r="AC67" s="38">
        <f>IF(T67&gt;=12,3200,IF(T67&gt;=9,2500,IF(T67&gt;=6,1800,1200)))</f>
        <v>2500</v>
      </c>
      <c r="AD67" s="38">
        <f>ROUND(MIN(N67,AC67),0)</f>
        <v>1749</v>
      </c>
      <c r="AE67" s="38">
        <f>AA67*AB67*AD67</f>
        <v>195.888</v>
      </c>
      <c r="AF67" s="38">
        <f>ROUND(MIN(W67,AE67),0)</f>
        <v>196</v>
      </c>
      <c r="AG67" s="38">
        <f>ROUND((AF67*$AM$1),0)</f>
        <v>196</v>
      </c>
      <c r="AH67" s="82">
        <v>45536</v>
      </c>
      <c r="AI67" s="82">
        <v>46357</v>
      </c>
      <c r="AJ67" s="85" t="s">
        <v>214</v>
      </c>
    </row>
    <row r="68" s="45" customFormat="1" ht="33" customHeight="1" spans="1:36">
      <c r="A68" s="38">
        <v>2</v>
      </c>
      <c r="B68" s="38" t="s">
        <v>215</v>
      </c>
      <c r="C68" s="38" t="s">
        <v>216</v>
      </c>
      <c r="D68" s="38" t="s">
        <v>70</v>
      </c>
      <c r="E68" s="69"/>
      <c r="F68" s="69">
        <v>1</v>
      </c>
      <c r="G68" s="69"/>
      <c r="H68" s="69"/>
      <c r="I68" s="69"/>
      <c r="J68" s="69"/>
      <c r="K68" s="69"/>
      <c r="L68" s="38" t="s">
        <v>212</v>
      </c>
      <c r="M68" s="73" t="s">
        <v>217</v>
      </c>
      <c r="N68" s="69"/>
      <c r="O68" s="69"/>
      <c r="P68" s="38">
        <v>406.2</v>
      </c>
      <c r="Q68" s="69"/>
      <c r="R68" s="69"/>
      <c r="S68" s="69"/>
      <c r="T68" s="69"/>
      <c r="U68" s="69"/>
      <c r="V68" s="38">
        <v>406.2</v>
      </c>
      <c r="W68" s="38">
        <v>380</v>
      </c>
      <c r="X68" s="38"/>
      <c r="Y68" s="38"/>
      <c r="Z68" s="38">
        <v>26.2</v>
      </c>
      <c r="AA68" s="69"/>
      <c r="AB68" s="69"/>
      <c r="AC68" s="69"/>
      <c r="AD68" s="69"/>
      <c r="AE68" s="38">
        <f>INT(IF(V68&lt;[1]参数!$F$9,V68*[1]参数!$F$10,[1]参数!$F$9*[1]参数!$F$10+(V68-[1]参数!$F$9)*[1]参数!$G$10))</f>
        <v>221</v>
      </c>
      <c r="AF68" s="38">
        <f t="shared" si="45"/>
        <v>221</v>
      </c>
      <c r="AG68" s="38">
        <f>ROUND((AF68*$AM$1),0)</f>
        <v>221</v>
      </c>
      <c r="AH68" s="82">
        <v>45352</v>
      </c>
      <c r="AI68" s="82">
        <v>45627</v>
      </c>
      <c r="AJ68" s="83"/>
    </row>
    <row r="69" s="45" customFormat="1" ht="33" customHeight="1" spans="1:36">
      <c r="A69" s="38">
        <v>3</v>
      </c>
      <c r="B69" s="38" t="s">
        <v>218</v>
      </c>
      <c r="C69" s="38" t="s">
        <v>219</v>
      </c>
      <c r="D69" s="38" t="s">
        <v>70</v>
      </c>
      <c r="E69" s="69"/>
      <c r="F69" s="69">
        <v>1</v>
      </c>
      <c r="G69" s="69"/>
      <c r="H69" s="69"/>
      <c r="I69" s="69"/>
      <c r="J69" s="69"/>
      <c r="K69" s="69"/>
      <c r="L69" s="38" t="s">
        <v>212</v>
      </c>
      <c r="M69" s="73" t="s">
        <v>220</v>
      </c>
      <c r="N69" s="69"/>
      <c r="O69" s="69"/>
      <c r="P69" s="38">
        <v>200</v>
      </c>
      <c r="Q69" s="69"/>
      <c r="R69" s="69"/>
      <c r="S69" s="69"/>
      <c r="T69" s="69"/>
      <c r="U69" s="69"/>
      <c r="V69" s="38">
        <v>200</v>
      </c>
      <c r="W69" s="38">
        <v>160</v>
      </c>
      <c r="X69" s="38"/>
      <c r="Y69" s="38"/>
      <c r="Z69" s="38">
        <v>40</v>
      </c>
      <c r="AA69" s="69"/>
      <c r="AB69" s="69"/>
      <c r="AC69" s="69"/>
      <c r="AD69" s="69"/>
      <c r="AE69" s="38">
        <f>INT(IF(V69&lt;[1]参数!$F$9,V69*[1]参数!$F$10,[1]参数!$F$9*[1]参数!$F$10+(V69-[1]参数!$F$9)*[1]参数!$G$10))</f>
        <v>170</v>
      </c>
      <c r="AF69" s="38">
        <f t="shared" si="45"/>
        <v>160</v>
      </c>
      <c r="AG69" s="38">
        <f>ROUND((AF69*$AM$1),0)</f>
        <v>160</v>
      </c>
      <c r="AH69" s="82">
        <v>45444</v>
      </c>
      <c r="AI69" s="82">
        <v>45627</v>
      </c>
      <c r="AJ69" s="83"/>
    </row>
    <row r="70" s="45" customFormat="1" ht="24" customHeight="1" spans="1:36">
      <c r="A70" s="38"/>
      <c r="B70" s="68" t="s">
        <v>221</v>
      </c>
      <c r="C70" s="68">
        <f t="shared" ref="C70:AG70" si="47">C71+C74+C78+C80+C82+C85+C88+C91</f>
        <v>14</v>
      </c>
      <c r="D70" s="68">
        <f t="shared" si="47"/>
        <v>0</v>
      </c>
      <c r="E70" s="68">
        <f t="shared" si="47"/>
        <v>3</v>
      </c>
      <c r="F70" s="68">
        <f t="shared" si="47"/>
        <v>9</v>
      </c>
      <c r="G70" s="68">
        <f t="shared" si="47"/>
        <v>1</v>
      </c>
      <c r="H70" s="68">
        <f t="shared" si="47"/>
        <v>0</v>
      </c>
      <c r="I70" s="68">
        <f t="shared" si="47"/>
        <v>1</v>
      </c>
      <c r="J70" s="68">
        <f t="shared" si="47"/>
        <v>0</v>
      </c>
      <c r="K70" s="68">
        <f t="shared" si="47"/>
        <v>19210</v>
      </c>
      <c r="L70" s="68">
        <f t="shared" si="47"/>
        <v>0</v>
      </c>
      <c r="M70" s="72">
        <f t="shared" si="47"/>
        <v>0</v>
      </c>
      <c r="N70" s="68">
        <f t="shared" si="47"/>
        <v>14598</v>
      </c>
      <c r="O70" s="68">
        <f t="shared" si="47"/>
        <v>2998</v>
      </c>
      <c r="P70" s="68">
        <f t="shared" si="47"/>
        <v>2705</v>
      </c>
      <c r="Q70" s="68">
        <f t="shared" si="47"/>
        <v>15711</v>
      </c>
      <c r="R70" s="68">
        <f t="shared" si="47"/>
        <v>40</v>
      </c>
      <c r="S70" s="68">
        <f t="shared" si="47"/>
        <v>510</v>
      </c>
      <c r="T70" s="68">
        <f t="shared" si="47"/>
        <v>31</v>
      </c>
      <c r="U70" s="68">
        <f t="shared" si="47"/>
        <v>1187</v>
      </c>
      <c r="V70" s="68">
        <f t="shared" si="47"/>
        <v>5703</v>
      </c>
      <c r="W70" s="68">
        <f t="shared" si="47"/>
        <v>3116</v>
      </c>
      <c r="X70" s="68">
        <f t="shared" si="47"/>
        <v>0</v>
      </c>
      <c r="Y70" s="68">
        <f t="shared" si="47"/>
        <v>2454</v>
      </c>
      <c r="Z70" s="68">
        <f t="shared" si="47"/>
        <v>177</v>
      </c>
      <c r="AA70" s="68">
        <f t="shared" si="47"/>
        <v>0</v>
      </c>
      <c r="AB70" s="68">
        <f t="shared" si="47"/>
        <v>0</v>
      </c>
      <c r="AC70" s="68">
        <f t="shared" si="47"/>
        <v>0</v>
      </c>
      <c r="AD70" s="68">
        <f t="shared" si="47"/>
        <v>0</v>
      </c>
      <c r="AE70" s="68">
        <f t="shared" si="47"/>
        <v>440</v>
      </c>
      <c r="AF70" s="68">
        <f t="shared" si="47"/>
        <v>2244</v>
      </c>
      <c r="AG70" s="68">
        <f t="shared" si="47"/>
        <v>2245</v>
      </c>
      <c r="AH70" s="81"/>
      <c r="AI70" s="81"/>
      <c r="AJ70" s="84"/>
    </row>
    <row r="71" s="45" customFormat="1" ht="24" customHeight="1" spans="1:36">
      <c r="A71" s="68" t="s">
        <v>44</v>
      </c>
      <c r="B71" s="68" t="s">
        <v>45</v>
      </c>
      <c r="C71" s="68">
        <v>2</v>
      </c>
      <c r="D71" s="69"/>
      <c r="E71" s="68">
        <f t="shared" ref="E71:Z71" si="48">SUM(E72:E73)</f>
        <v>1</v>
      </c>
      <c r="F71" s="68">
        <f t="shared" si="48"/>
        <v>1</v>
      </c>
      <c r="G71" s="68">
        <f t="shared" si="48"/>
        <v>0</v>
      </c>
      <c r="H71" s="68">
        <f t="shared" si="48"/>
        <v>0</v>
      </c>
      <c r="I71" s="68">
        <f t="shared" si="48"/>
        <v>0</v>
      </c>
      <c r="J71" s="68">
        <f t="shared" si="48"/>
        <v>0</v>
      </c>
      <c r="K71" s="68">
        <f t="shared" si="48"/>
        <v>2030</v>
      </c>
      <c r="L71" s="68">
        <f t="shared" si="48"/>
        <v>0</v>
      </c>
      <c r="M71" s="72">
        <f t="shared" si="48"/>
        <v>0</v>
      </c>
      <c r="N71" s="68">
        <f t="shared" si="48"/>
        <v>2030</v>
      </c>
      <c r="O71" s="68">
        <f t="shared" si="48"/>
        <v>280</v>
      </c>
      <c r="P71" s="68">
        <f t="shared" si="48"/>
        <v>310</v>
      </c>
      <c r="Q71" s="68">
        <f t="shared" si="48"/>
        <v>2030</v>
      </c>
      <c r="R71" s="68">
        <f t="shared" si="48"/>
        <v>8</v>
      </c>
      <c r="S71" s="68">
        <f t="shared" si="48"/>
        <v>0</v>
      </c>
      <c r="T71" s="68">
        <f t="shared" si="48"/>
        <v>2</v>
      </c>
      <c r="U71" s="68">
        <f t="shared" si="48"/>
        <v>280</v>
      </c>
      <c r="V71" s="68">
        <f t="shared" si="48"/>
        <v>590</v>
      </c>
      <c r="W71" s="68">
        <f t="shared" si="48"/>
        <v>530</v>
      </c>
      <c r="X71" s="68">
        <f t="shared" si="48"/>
        <v>0</v>
      </c>
      <c r="Y71" s="68">
        <f t="shared" si="48"/>
        <v>0</v>
      </c>
      <c r="Z71" s="68">
        <f t="shared" si="48"/>
        <v>60</v>
      </c>
      <c r="AA71" s="68"/>
      <c r="AB71" s="68"/>
      <c r="AC71" s="68"/>
      <c r="AD71" s="68"/>
      <c r="AE71" s="68"/>
      <c r="AF71" s="68">
        <f>SUM(AF72:AF73)</f>
        <v>242</v>
      </c>
      <c r="AG71" s="68">
        <f>SUM(AG72:AG73)</f>
        <v>242</v>
      </c>
      <c r="AH71" s="81"/>
      <c r="AI71" s="81"/>
      <c r="AJ71" s="84"/>
    </row>
    <row r="72" s="50" customFormat="1" ht="24" customHeight="1" spans="1:36">
      <c r="A72" s="38">
        <v>1</v>
      </c>
      <c r="B72" s="38" t="s">
        <v>222</v>
      </c>
      <c r="C72" s="38" t="s">
        <v>223</v>
      </c>
      <c r="D72" s="38" t="s">
        <v>87</v>
      </c>
      <c r="E72" s="38">
        <v>1</v>
      </c>
      <c r="F72" s="38"/>
      <c r="G72" s="38"/>
      <c r="H72" s="38"/>
      <c r="I72" s="38"/>
      <c r="J72" s="38"/>
      <c r="K72" s="38">
        <v>2030</v>
      </c>
      <c r="L72" s="38"/>
      <c r="M72" s="73" t="s">
        <v>128</v>
      </c>
      <c r="N72" s="38">
        <v>2030</v>
      </c>
      <c r="O72" s="38">
        <v>280</v>
      </c>
      <c r="P72" s="38">
        <v>160</v>
      </c>
      <c r="Q72" s="38">
        <v>2030</v>
      </c>
      <c r="R72" s="38">
        <v>8</v>
      </c>
      <c r="S72" s="38"/>
      <c r="T72" s="38">
        <v>2</v>
      </c>
      <c r="U72" s="38">
        <v>280</v>
      </c>
      <c r="V72" s="38">
        <v>440</v>
      </c>
      <c r="W72" s="38">
        <v>380</v>
      </c>
      <c r="X72" s="38"/>
      <c r="Y72" s="38"/>
      <c r="Z72" s="38">
        <v>60</v>
      </c>
      <c r="AA72" s="38">
        <f>[1]参数!$D$1</f>
        <v>0.096</v>
      </c>
      <c r="AB72" s="38"/>
      <c r="AC72" s="38">
        <f>IF((T72)&gt;=12,3200,IF((T72)&gt;=9,2500,IF((T72)&gt;=6,1800,1200)))</f>
        <v>1200</v>
      </c>
      <c r="AD72" s="38">
        <f>ROUND(MIN(AC72,N72),0)</f>
        <v>1200</v>
      </c>
      <c r="AE72" s="38">
        <f>AA72*AD72</f>
        <v>115.2</v>
      </c>
      <c r="AF72" s="38">
        <f t="shared" ref="AF72:AF77" si="49">ROUND(MIN(AE72,W72),0)</f>
        <v>115</v>
      </c>
      <c r="AG72" s="38">
        <f>ROUND((AF72*$AM$1),0)</f>
        <v>115</v>
      </c>
      <c r="AH72" s="82">
        <v>45444</v>
      </c>
      <c r="AI72" s="82">
        <v>45536</v>
      </c>
      <c r="AJ72" s="83" t="s">
        <v>224</v>
      </c>
    </row>
    <row r="73" s="45" customFormat="1" ht="24" customHeight="1" spans="1:36">
      <c r="A73" s="38">
        <v>2</v>
      </c>
      <c r="B73" s="38" t="s">
        <v>222</v>
      </c>
      <c r="C73" s="38" t="s">
        <v>225</v>
      </c>
      <c r="D73" s="38" t="s">
        <v>70</v>
      </c>
      <c r="E73" s="69"/>
      <c r="F73" s="69">
        <v>1</v>
      </c>
      <c r="G73" s="69"/>
      <c r="H73" s="69"/>
      <c r="I73" s="69"/>
      <c r="J73" s="69"/>
      <c r="K73" s="69"/>
      <c r="L73" s="38"/>
      <c r="M73" s="73" t="s">
        <v>226</v>
      </c>
      <c r="N73" s="69"/>
      <c r="O73" s="69"/>
      <c r="P73" s="38">
        <v>150</v>
      </c>
      <c r="Q73" s="69"/>
      <c r="R73" s="69"/>
      <c r="S73" s="69"/>
      <c r="T73" s="69"/>
      <c r="U73" s="69"/>
      <c r="V73" s="38">
        <f t="shared" ref="V73:V77" si="50">W73+X73+Y73+Z73</f>
        <v>150</v>
      </c>
      <c r="W73" s="38">
        <v>150</v>
      </c>
      <c r="X73" s="38"/>
      <c r="Y73" s="38"/>
      <c r="Z73" s="38"/>
      <c r="AA73" s="69"/>
      <c r="AB73" s="69"/>
      <c r="AC73" s="69"/>
      <c r="AD73" s="69"/>
      <c r="AE73" s="38">
        <f>INT(IF(V73&lt;[1]参数!$F$9,V73*[1]参数!$F$10,[1]参数!$F$9*[1]参数!$F$10+(V73-[1]参数!$F$9)*[1]参数!$G$10))</f>
        <v>127</v>
      </c>
      <c r="AF73" s="38">
        <f t="shared" si="49"/>
        <v>127</v>
      </c>
      <c r="AG73" s="38">
        <f>ROUND((AF73*$AM$1),0)</f>
        <v>127</v>
      </c>
      <c r="AH73" s="82">
        <v>45444</v>
      </c>
      <c r="AI73" s="82">
        <v>45627</v>
      </c>
      <c r="AJ73" s="83" t="s">
        <v>227</v>
      </c>
    </row>
    <row r="74" s="45" customFormat="1" ht="24" customHeight="1" spans="1:36">
      <c r="A74" s="68" t="s">
        <v>50</v>
      </c>
      <c r="B74" s="68" t="s">
        <v>228</v>
      </c>
      <c r="C74" s="68">
        <v>3</v>
      </c>
      <c r="D74" s="69"/>
      <c r="E74" s="68">
        <f t="shared" ref="E74:Z74" si="51">SUM(E75:E77)</f>
        <v>0</v>
      </c>
      <c r="F74" s="68">
        <f t="shared" si="51"/>
        <v>2</v>
      </c>
      <c r="G74" s="68">
        <f t="shared" si="51"/>
        <v>0</v>
      </c>
      <c r="H74" s="68">
        <f t="shared" si="51"/>
        <v>0</v>
      </c>
      <c r="I74" s="68">
        <f t="shared" si="51"/>
        <v>1</v>
      </c>
      <c r="J74" s="68">
        <f t="shared" si="51"/>
        <v>0</v>
      </c>
      <c r="K74" s="68">
        <f t="shared" si="51"/>
        <v>4050</v>
      </c>
      <c r="L74" s="68">
        <f t="shared" si="51"/>
        <v>0</v>
      </c>
      <c r="M74" s="72">
        <f t="shared" si="51"/>
        <v>0</v>
      </c>
      <c r="N74" s="68">
        <f t="shared" si="51"/>
        <v>4200</v>
      </c>
      <c r="O74" s="68">
        <f t="shared" si="51"/>
        <v>2000</v>
      </c>
      <c r="P74" s="68">
        <f t="shared" si="51"/>
        <v>690</v>
      </c>
      <c r="Q74" s="68">
        <f t="shared" si="51"/>
        <v>4200</v>
      </c>
      <c r="R74" s="68">
        <f t="shared" si="51"/>
        <v>12</v>
      </c>
      <c r="S74" s="68">
        <f t="shared" si="51"/>
        <v>360</v>
      </c>
      <c r="T74" s="68">
        <f t="shared" si="51"/>
        <v>0</v>
      </c>
      <c r="U74" s="68">
        <f t="shared" si="51"/>
        <v>0</v>
      </c>
      <c r="V74" s="68">
        <f t="shared" si="51"/>
        <v>2690</v>
      </c>
      <c r="W74" s="68">
        <f t="shared" si="51"/>
        <v>640</v>
      </c>
      <c r="X74" s="68">
        <f t="shared" si="51"/>
        <v>0</v>
      </c>
      <c r="Y74" s="68">
        <f t="shared" si="51"/>
        <v>2050</v>
      </c>
      <c r="Z74" s="68">
        <f t="shared" si="51"/>
        <v>0</v>
      </c>
      <c r="AA74" s="68"/>
      <c r="AB74" s="68"/>
      <c r="AC74" s="68"/>
      <c r="AD74" s="68"/>
      <c r="AE74" s="68"/>
      <c r="AF74" s="68">
        <f>SUM(AF75:AF77)</f>
        <v>637</v>
      </c>
      <c r="AG74" s="68">
        <f>SUM(AG75:AG77)</f>
        <v>637</v>
      </c>
      <c r="AH74" s="81"/>
      <c r="AI74" s="81"/>
      <c r="AJ74" s="84"/>
    </row>
    <row r="75" s="45" customFormat="1" ht="24" customHeight="1" spans="1:36">
      <c r="A75" s="38">
        <v>1</v>
      </c>
      <c r="B75" s="38" t="s">
        <v>229</v>
      </c>
      <c r="C75" s="38" t="s">
        <v>230</v>
      </c>
      <c r="D75" s="38" t="s">
        <v>70</v>
      </c>
      <c r="E75" s="69"/>
      <c r="F75" s="69">
        <v>1</v>
      </c>
      <c r="G75" s="69"/>
      <c r="H75" s="69"/>
      <c r="I75" s="69"/>
      <c r="J75" s="69"/>
      <c r="K75" s="69"/>
      <c r="L75" s="38"/>
      <c r="M75" s="73" t="s">
        <v>231</v>
      </c>
      <c r="N75" s="69"/>
      <c r="O75" s="69"/>
      <c r="P75" s="38">
        <v>87</v>
      </c>
      <c r="Q75" s="69"/>
      <c r="R75" s="69"/>
      <c r="S75" s="69"/>
      <c r="T75" s="69"/>
      <c r="U75" s="69"/>
      <c r="V75" s="38">
        <f t="shared" si="50"/>
        <v>87</v>
      </c>
      <c r="W75" s="38">
        <v>70</v>
      </c>
      <c r="X75" s="38"/>
      <c r="Y75" s="38">
        <v>17</v>
      </c>
      <c r="Z75" s="38"/>
      <c r="AA75" s="69"/>
      <c r="AB75" s="69"/>
      <c r="AC75" s="69"/>
      <c r="AD75" s="69"/>
      <c r="AE75" s="38">
        <f>INT(IF(V75&lt;[1]参数!$F$9,V75*[1]参数!$F$10,[1]参数!$F$9*[1]参数!$F$10+(V75-[1]参数!$F$9)*[1]参数!$G$10))</f>
        <v>73</v>
      </c>
      <c r="AF75" s="38">
        <f t="shared" si="49"/>
        <v>70</v>
      </c>
      <c r="AG75" s="38">
        <f>ROUND((AF75*$AM$1),0)</f>
        <v>70</v>
      </c>
      <c r="AH75" s="82">
        <v>45444</v>
      </c>
      <c r="AI75" s="82">
        <v>45627</v>
      </c>
      <c r="AJ75" s="83" t="s">
        <v>72</v>
      </c>
    </row>
    <row r="76" s="45" customFormat="1" ht="24" customHeight="1" spans="1:36">
      <c r="A76" s="38">
        <v>2</v>
      </c>
      <c r="B76" s="38" t="s">
        <v>232</v>
      </c>
      <c r="C76" s="38" t="s">
        <v>233</v>
      </c>
      <c r="D76" s="38" t="s">
        <v>70</v>
      </c>
      <c r="E76" s="69"/>
      <c r="F76" s="69">
        <v>1</v>
      </c>
      <c r="G76" s="69"/>
      <c r="H76" s="69"/>
      <c r="I76" s="69"/>
      <c r="J76" s="69"/>
      <c r="K76" s="69"/>
      <c r="L76" s="38"/>
      <c r="M76" s="73" t="s">
        <v>234</v>
      </c>
      <c r="N76" s="69"/>
      <c r="O76" s="69"/>
      <c r="P76" s="38">
        <v>103</v>
      </c>
      <c r="Q76" s="69"/>
      <c r="R76" s="69"/>
      <c r="S76" s="69"/>
      <c r="T76" s="69"/>
      <c r="U76" s="69"/>
      <c r="V76" s="38">
        <f t="shared" si="50"/>
        <v>103</v>
      </c>
      <c r="W76" s="38">
        <v>90</v>
      </c>
      <c r="X76" s="38"/>
      <c r="Y76" s="38">
        <v>13</v>
      </c>
      <c r="Z76" s="38"/>
      <c r="AA76" s="69"/>
      <c r="AB76" s="69"/>
      <c r="AC76" s="69"/>
      <c r="AD76" s="69"/>
      <c r="AE76" s="38">
        <f>INT(IF(V76&lt;[1]参数!$F$9,V76*[1]参数!$F$10,[1]参数!$F$9*[1]参数!$F$10+(V76-[1]参数!$F$9)*[1]参数!$G$10))</f>
        <v>87</v>
      </c>
      <c r="AF76" s="38">
        <f t="shared" si="49"/>
        <v>87</v>
      </c>
      <c r="AG76" s="38">
        <f>ROUND((AF76*$AM$1),0)</f>
        <v>87</v>
      </c>
      <c r="AH76" s="82">
        <v>45444</v>
      </c>
      <c r="AI76" s="82">
        <v>45627</v>
      </c>
      <c r="AJ76" s="83" t="s">
        <v>72</v>
      </c>
    </row>
    <row r="77" s="47" customFormat="1" ht="33" customHeight="1" spans="1:36">
      <c r="A77" s="38">
        <v>3</v>
      </c>
      <c r="B77" s="38" t="s">
        <v>229</v>
      </c>
      <c r="C77" s="38" t="s">
        <v>235</v>
      </c>
      <c r="D77" s="38" t="s">
        <v>27</v>
      </c>
      <c r="E77" s="38"/>
      <c r="F77" s="38"/>
      <c r="G77" s="38"/>
      <c r="H77" s="38"/>
      <c r="I77" s="38">
        <v>1</v>
      </c>
      <c r="J77" s="38"/>
      <c r="K77" s="38">
        <v>4050</v>
      </c>
      <c r="L77" s="38" t="s">
        <v>236</v>
      </c>
      <c r="M77" s="73" t="s">
        <v>237</v>
      </c>
      <c r="N77" s="38">
        <v>4200</v>
      </c>
      <c r="O77" s="38">
        <v>2000</v>
      </c>
      <c r="P77" s="38">
        <v>500</v>
      </c>
      <c r="Q77" s="38">
        <v>4200</v>
      </c>
      <c r="R77" s="38">
        <v>12</v>
      </c>
      <c r="S77" s="38">
        <v>360</v>
      </c>
      <c r="T77" s="38"/>
      <c r="U77" s="38"/>
      <c r="V77" s="38">
        <f t="shared" si="50"/>
        <v>2500</v>
      </c>
      <c r="W77" s="38">
        <v>480</v>
      </c>
      <c r="X77" s="38"/>
      <c r="Y77" s="38">
        <v>2020</v>
      </c>
      <c r="Z77" s="38"/>
      <c r="AA77" s="38">
        <f>[1]参数!$B$1</f>
        <v>0.28</v>
      </c>
      <c r="AB77" s="38">
        <f>[1]参数!$B$2</f>
        <v>1</v>
      </c>
      <c r="AC77" s="38">
        <f>IF(R77&gt;=12,3200,IF(R77&gt;=9,2500,IF(R77&gt;=6,1800,1200)))</f>
        <v>3200</v>
      </c>
      <c r="AD77" s="38">
        <f>ROUND(MIN(Q77,AC77),0)</f>
        <v>3200</v>
      </c>
      <c r="AE77" s="38">
        <f>AA77*AB77*AD77</f>
        <v>896</v>
      </c>
      <c r="AF77" s="38">
        <f t="shared" si="49"/>
        <v>480</v>
      </c>
      <c r="AG77" s="38">
        <f>ROUND((AF77*$AM$1),0)</f>
        <v>480</v>
      </c>
      <c r="AH77" s="82">
        <v>45078</v>
      </c>
      <c r="AI77" s="82">
        <v>45505</v>
      </c>
      <c r="AJ77" s="83" t="s">
        <v>238</v>
      </c>
    </row>
    <row r="78" s="46" customFormat="1" ht="24" customHeight="1" spans="1:36">
      <c r="A78" s="68" t="s">
        <v>59</v>
      </c>
      <c r="B78" s="68" t="s">
        <v>239</v>
      </c>
      <c r="C78" s="68">
        <v>1</v>
      </c>
      <c r="D78" s="68"/>
      <c r="E78" s="68">
        <f t="shared" ref="E78:Z78" si="52">SUM(E79)</f>
        <v>0</v>
      </c>
      <c r="F78" s="68">
        <f t="shared" si="52"/>
        <v>0</v>
      </c>
      <c r="G78" s="68">
        <f t="shared" si="52"/>
        <v>1</v>
      </c>
      <c r="H78" s="68">
        <f t="shared" si="52"/>
        <v>0</v>
      </c>
      <c r="I78" s="68">
        <f t="shared" si="52"/>
        <v>0</v>
      </c>
      <c r="J78" s="68">
        <f t="shared" si="52"/>
        <v>0</v>
      </c>
      <c r="K78" s="68">
        <f t="shared" si="52"/>
        <v>2177</v>
      </c>
      <c r="L78" s="68">
        <f t="shared" si="52"/>
        <v>0</v>
      </c>
      <c r="M78" s="72">
        <f t="shared" si="52"/>
        <v>0</v>
      </c>
      <c r="N78" s="68">
        <f t="shared" si="52"/>
        <v>2380</v>
      </c>
      <c r="O78" s="68">
        <f t="shared" si="52"/>
        <v>380</v>
      </c>
      <c r="P78" s="68">
        <f t="shared" si="52"/>
        <v>220</v>
      </c>
      <c r="Q78" s="68">
        <f t="shared" si="52"/>
        <v>3493</v>
      </c>
      <c r="R78" s="68">
        <f t="shared" si="52"/>
        <v>8</v>
      </c>
      <c r="S78" s="68">
        <f t="shared" si="52"/>
        <v>150</v>
      </c>
      <c r="T78" s="68">
        <f t="shared" si="52"/>
        <v>5</v>
      </c>
      <c r="U78" s="68">
        <f t="shared" si="52"/>
        <v>150</v>
      </c>
      <c r="V78" s="68">
        <f t="shared" si="52"/>
        <v>600</v>
      </c>
      <c r="W78" s="68">
        <f t="shared" si="52"/>
        <v>400</v>
      </c>
      <c r="X78" s="68">
        <f t="shared" si="52"/>
        <v>0</v>
      </c>
      <c r="Y78" s="68">
        <f t="shared" si="52"/>
        <v>200</v>
      </c>
      <c r="Z78" s="68">
        <f t="shared" si="52"/>
        <v>0</v>
      </c>
      <c r="AA78" s="68"/>
      <c r="AB78" s="68"/>
      <c r="AC78" s="68"/>
      <c r="AD78" s="68"/>
      <c r="AE78" s="68"/>
      <c r="AF78" s="68">
        <f>SUM(AF79)</f>
        <v>134</v>
      </c>
      <c r="AG78" s="68">
        <f>SUM(AG79)</f>
        <v>134</v>
      </c>
      <c r="AH78" s="81"/>
      <c r="AI78" s="81"/>
      <c r="AJ78" s="84"/>
    </row>
    <row r="79" s="46" customFormat="1" ht="24" customHeight="1" spans="1:36">
      <c r="A79" s="38">
        <v>1</v>
      </c>
      <c r="B79" s="38" t="s">
        <v>240</v>
      </c>
      <c r="C79" s="38" t="s">
        <v>241</v>
      </c>
      <c r="D79" s="38" t="s">
        <v>178</v>
      </c>
      <c r="E79" s="38"/>
      <c r="F79" s="38"/>
      <c r="G79" s="38">
        <v>1</v>
      </c>
      <c r="H79" s="38"/>
      <c r="I79" s="38"/>
      <c r="J79" s="38"/>
      <c r="K79" s="38">
        <v>2177</v>
      </c>
      <c r="L79" s="38"/>
      <c r="M79" s="73" t="s">
        <v>128</v>
      </c>
      <c r="N79" s="38">
        <v>2380</v>
      </c>
      <c r="O79" s="38">
        <v>380</v>
      </c>
      <c r="P79" s="38">
        <v>220</v>
      </c>
      <c r="Q79" s="38">
        <v>3493</v>
      </c>
      <c r="R79" s="38">
        <v>8</v>
      </c>
      <c r="S79" s="38">
        <f>U79</f>
        <v>150</v>
      </c>
      <c r="T79" s="38">
        <v>5</v>
      </c>
      <c r="U79" s="38">
        <v>150</v>
      </c>
      <c r="V79" s="38">
        <v>600</v>
      </c>
      <c r="W79" s="38">
        <v>400</v>
      </c>
      <c r="X79" s="38"/>
      <c r="Y79" s="38">
        <v>200</v>
      </c>
      <c r="Z79" s="38"/>
      <c r="AA79" s="38">
        <f>[1]参数!$B$1</f>
        <v>0.28</v>
      </c>
      <c r="AB79" s="38">
        <f>[1]参数!C3</f>
        <v>0.4</v>
      </c>
      <c r="AC79" s="38">
        <f>IF(T79&gt;=12,3200,IF(T79&gt;=9,2500,IF(T79&gt;=6,1800,1200)))</f>
        <v>1200</v>
      </c>
      <c r="AD79" s="38">
        <f>ROUND(MIN(N79,AC79),0)</f>
        <v>1200</v>
      </c>
      <c r="AE79" s="38">
        <f>AA79*AB79*AD79</f>
        <v>134.4</v>
      </c>
      <c r="AF79" s="38">
        <f>ROUND(MIN(W79,AE79),0)</f>
        <v>134</v>
      </c>
      <c r="AG79" s="38">
        <f>ROUND((AF79*$AM$1),0)</f>
        <v>134</v>
      </c>
      <c r="AH79" s="82">
        <v>45474</v>
      </c>
      <c r="AI79" s="82">
        <v>45627</v>
      </c>
      <c r="AJ79" s="85" t="s">
        <v>242</v>
      </c>
    </row>
    <row r="80" s="45" customFormat="1" ht="24" customHeight="1" spans="1:36">
      <c r="A80" s="68" t="s">
        <v>66</v>
      </c>
      <c r="B80" s="68" t="s">
        <v>243</v>
      </c>
      <c r="C80" s="68">
        <v>1</v>
      </c>
      <c r="D80" s="69"/>
      <c r="E80" s="68">
        <f t="shared" ref="E80:Z80" si="53">SUM(E81)</f>
        <v>1</v>
      </c>
      <c r="F80" s="68">
        <f t="shared" si="53"/>
        <v>0</v>
      </c>
      <c r="G80" s="68">
        <f t="shared" si="53"/>
        <v>0</v>
      </c>
      <c r="H80" s="68">
        <f t="shared" si="53"/>
        <v>0</v>
      </c>
      <c r="I80" s="68">
        <f t="shared" si="53"/>
        <v>0</v>
      </c>
      <c r="J80" s="68">
        <f t="shared" si="53"/>
        <v>0</v>
      </c>
      <c r="K80" s="68">
        <f t="shared" si="53"/>
        <v>8123</v>
      </c>
      <c r="L80" s="68">
        <f t="shared" si="53"/>
        <v>0</v>
      </c>
      <c r="M80" s="72">
        <f t="shared" si="53"/>
        <v>0</v>
      </c>
      <c r="N80" s="68">
        <f t="shared" si="53"/>
        <v>3158</v>
      </c>
      <c r="O80" s="68">
        <f t="shared" si="53"/>
        <v>200</v>
      </c>
      <c r="P80" s="68">
        <f t="shared" si="53"/>
        <v>225</v>
      </c>
      <c r="Q80" s="68">
        <f t="shared" si="53"/>
        <v>3158</v>
      </c>
      <c r="R80" s="68">
        <f t="shared" si="53"/>
        <v>0</v>
      </c>
      <c r="S80" s="68">
        <f t="shared" si="53"/>
        <v>0</v>
      </c>
      <c r="T80" s="68">
        <f t="shared" si="53"/>
        <v>12</v>
      </c>
      <c r="U80" s="68">
        <f t="shared" si="53"/>
        <v>360</v>
      </c>
      <c r="V80" s="68">
        <f t="shared" si="53"/>
        <v>425</v>
      </c>
      <c r="W80" s="68">
        <f t="shared" si="53"/>
        <v>380</v>
      </c>
      <c r="X80" s="68">
        <f t="shared" si="53"/>
        <v>0</v>
      </c>
      <c r="Y80" s="68">
        <f t="shared" si="53"/>
        <v>44</v>
      </c>
      <c r="Z80" s="68">
        <f t="shared" si="53"/>
        <v>45</v>
      </c>
      <c r="AA80" s="68"/>
      <c r="AB80" s="68"/>
      <c r="AC80" s="68"/>
      <c r="AD80" s="68"/>
      <c r="AE80" s="68"/>
      <c r="AF80" s="68">
        <f>SUM(AF81)</f>
        <v>303</v>
      </c>
      <c r="AG80" s="68">
        <f>SUM(AG81)</f>
        <v>303</v>
      </c>
      <c r="AH80" s="81"/>
      <c r="AI80" s="81"/>
      <c r="AJ80" s="84"/>
    </row>
    <row r="81" s="50" customFormat="1" ht="24" customHeight="1" spans="1:36">
      <c r="A81" s="38">
        <v>1</v>
      </c>
      <c r="B81" s="38" t="s">
        <v>244</v>
      </c>
      <c r="C81" s="93" t="s">
        <v>245</v>
      </c>
      <c r="D81" s="93" t="s">
        <v>87</v>
      </c>
      <c r="E81" s="38">
        <v>1</v>
      </c>
      <c r="F81" s="93"/>
      <c r="G81" s="93"/>
      <c r="H81" s="93"/>
      <c r="I81" s="93"/>
      <c r="J81" s="93"/>
      <c r="K81" s="93">
        <v>8123</v>
      </c>
      <c r="L81" s="93"/>
      <c r="M81" s="94" t="s">
        <v>213</v>
      </c>
      <c r="N81" s="93">
        <v>3158</v>
      </c>
      <c r="O81" s="93">
        <v>200</v>
      </c>
      <c r="P81" s="93">
        <v>225</v>
      </c>
      <c r="Q81" s="93">
        <v>3158</v>
      </c>
      <c r="R81" s="93"/>
      <c r="S81" s="93"/>
      <c r="T81" s="93">
        <v>12</v>
      </c>
      <c r="U81" s="93">
        <v>360</v>
      </c>
      <c r="V81" s="93">
        <v>425</v>
      </c>
      <c r="W81" s="93">
        <v>380</v>
      </c>
      <c r="X81" s="93">
        <f>X84</f>
        <v>0</v>
      </c>
      <c r="Y81" s="93">
        <f>Y84</f>
        <v>44</v>
      </c>
      <c r="Z81" s="93">
        <v>45</v>
      </c>
      <c r="AA81" s="38">
        <f>[1]参数!$D$1</f>
        <v>0.096</v>
      </c>
      <c r="AB81" s="38"/>
      <c r="AC81" s="38">
        <f>IF((T81)&gt;=12,3200,IF((T81)&gt;=9,2500,IF((T81)&gt;=6,1800,1200)))</f>
        <v>3200</v>
      </c>
      <c r="AD81" s="38">
        <f>ROUND(MIN(AC81,N81),0)</f>
        <v>3158</v>
      </c>
      <c r="AE81" s="38">
        <f>AA81*AD81</f>
        <v>303.168</v>
      </c>
      <c r="AF81" s="38">
        <f t="shared" ref="AF81:AF84" si="54">ROUND(MIN(AE81,W81),0)</f>
        <v>303</v>
      </c>
      <c r="AG81" s="38">
        <f>ROUND((AF81*$AM$1),0)</f>
        <v>303</v>
      </c>
      <c r="AH81" s="82">
        <v>45474</v>
      </c>
      <c r="AI81" s="82">
        <v>45536</v>
      </c>
      <c r="AJ81" s="83" t="s">
        <v>246</v>
      </c>
    </row>
    <row r="82" s="45" customFormat="1" ht="24" customHeight="1" spans="1:36">
      <c r="A82" s="68" t="s">
        <v>83</v>
      </c>
      <c r="B82" s="68" t="s">
        <v>247</v>
      </c>
      <c r="C82" s="68">
        <v>2</v>
      </c>
      <c r="D82" s="69"/>
      <c r="E82" s="68">
        <f t="shared" ref="E82:AG82" si="55">SUM(E83:E84)</f>
        <v>0</v>
      </c>
      <c r="F82" s="68">
        <f t="shared" si="55"/>
        <v>2</v>
      </c>
      <c r="G82" s="68">
        <f t="shared" si="55"/>
        <v>0</v>
      </c>
      <c r="H82" s="68">
        <f t="shared" si="55"/>
        <v>0</v>
      </c>
      <c r="I82" s="68">
        <f t="shared" si="55"/>
        <v>0</v>
      </c>
      <c r="J82" s="68">
        <f t="shared" si="55"/>
        <v>0</v>
      </c>
      <c r="K82" s="68">
        <f t="shared" si="55"/>
        <v>0</v>
      </c>
      <c r="L82" s="68">
        <f t="shared" si="55"/>
        <v>0</v>
      </c>
      <c r="M82" s="72">
        <f t="shared" si="55"/>
        <v>0</v>
      </c>
      <c r="N82" s="68">
        <f t="shared" si="55"/>
        <v>0</v>
      </c>
      <c r="O82" s="68">
        <f t="shared" si="55"/>
        <v>0</v>
      </c>
      <c r="P82" s="68">
        <f t="shared" si="55"/>
        <v>800</v>
      </c>
      <c r="Q82" s="68">
        <f t="shared" si="55"/>
        <v>0</v>
      </c>
      <c r="R82" s="68">
        <f t="shared" si="55"/>
        <v>0</v>
      </c>
      <c r="S82" s="68">
        <f t="shared" si="55"/>
        <v>0</v>
      </c>
      <c r="T82" s="68">
        <f t="shared" si="55"/>
        <v>0</v>
      </c>
      <c r="U82" s="68">
        <f t="shared" si="55"/>
        <v>0</v>
      </c>
      <c r="V82" s="68">
        <f t="shared" si="55"/>
        <v>800</v>
      </c>
      <c r="W82" s="68">
        <f t="shared" si="55"/>
        <v>640</v>
      </c>
      <c r="X82" s="68">
        <f t="shared" si="55"/>
        <v>0</v>
      </c>
      <c r="Y82" s="68">
        <f t="shared" si="55"/>
        <v>160</v>
      </c>
      <c r="Z82" s="68">
        <f t="shared" si="55"/>
        <v>0</v>
      </c>
      <c r="AA82" s="68">
        <f t="shared" si="55"/>
        <v>0</v>
      </c>
      <c r="AB82" s="68">
        <f t="shared" si="55"/>
        <v>0</v>
      </c>
      <c r="AC82" s="68">
        <f t="shared" si="55"/>
        <v>0</v>
      </c>
      <c r="AD82" s="68">
        <f t="shared" si="55"/>
        <v>0</v>
      </c>
      <c r="AE82" s="68">
        <f t="shared" si="55"/>
        <v>440</v>
      </c>
      <c r="AF82" s="68">
        <f t="shared" si="55"/>
        <v>440</v>
      </c>
      <c r="AG82" s="68">
        <f t="shared" si="55"/>
        <v>441</v>
      </c>
      <c r="AH82" s="81"/>
      <c r="AI82" s="81"/>
      <c r="AJ82" s="84"/>
    </row>
    <row r="83" s="45" customFormat="1" ht="24" customHeight="1" spans="1:36">
      <c r="A83" s="38">
        <v>1</v>
      </c>
      <c r="B83" s="93" t="s">
        <v>248</v>
      </c>
      <c r="C83" s="93" t="s">
        <v>249</v>
      </c>
      <c r="D83" s="38" t="s">
        <v>70</v>
      </c>
      <c r="E83" s="69"/>
      <c r="F83" s="69">
        <v>1</v>
      </c>
      <c r="G83" s="69"/>
      <c r="H83" s="69"/>
      <c r="I83" s="69"/>
      <c r="J83" s="69"/>
      <c r="K83" s="69"/>
      <c r="L83" s="93"/>
      <c r="M83" s="94" t="s">
        <v>250</v>
      </c>
      <c r="N83" s="69"/>
      <c r="O83" s="69"/>
      <c r="P83" s="93">
        <v>580</v>
      </c>
      <c r="Q83" s="69"/>
      <c r="R83" s="69"/>
      <c r="S83" s="69"/>
      <c r="T83" s="69"/>
      <c r="U83" s="69"/>
      <c r="V83" s="93">
        <v>580</v>
      </c>
      <c r="W83" s="93">
        <v>464</v>
      </c>
      <c r="X83" s="93"/>
      <c r="Y83" s="93">
        <f>V83-W83</f>
        <v>116</v>
      </c>
      <c r="Z83" s="38"/>
      <c r="AA83" s="69"/>
      <c r="AB83" s="69"/>
      <c r="AC83" s="69"/>
      <c r="AD83" s="69"/>
      <c r="AE83" s="38">
        <f>INT(IF(V83&lt;[1]参数!$F$9,V83*[1]参数!$F$10,[1]参数!$F$9*[1]参数!$F$10+(V83-[1]参数!$F$9)*[1]参数!$G$10))</f>
        <v>265</v>
      </c>
      <c r="AF83" s="38">
        <f t="shared" si="54"/>
        <v>265</v>
      </c>
      <c r="AG83" s="38">
        <f>ROUND((AF83*$AM$1),0)</f>
        <v>265</v>
      </c>
      <c r="AH83" s="86" t="s">
        <v>251</v>
      </c>
      <c r="AI83" s="86" t="s">
        <v>252</v>
      </c>
      <c r="AJ83" s="83" t="s">
        <v>72</v>
      </c>
    </row>
    <row r="84" s="45" customFormat="1" ht="24" customHeight="1" spans="1:37">
      <c r="A84" s="38">
        <v>2</v>
      </c>
      <c r="B84" s="93" t="s">
        <v>248</v>
      </c>
      <c r="C84" s="93" t="s">
        <v>253</v>
      </c>
      <c r="D84" s="38" t="s">
        <v>70</v>
      </c>
      <c r="E84" s="69"/>
      <c r="F84" s="69">
        <v>1</v>
      </c>
      <c r="G84" s="69"/>
      <c r="H84" s="69"/>
      <c r="I84" s="69"/>
      <c r="J84" s="69"/>
      <c r="K84" s="69"/>
      <c r="L84" s="93"/>
      <c r="M84" s="94" t="s">
        <v>250</v>
      </c>
      <c r="N84" s="69"/>
      <c r="O84" s="69"/>
      <c r="P84" s="93">
        <v>220</v>
      </c>
      <c r="Q84" s="69"/>
      <c r="R84" s="69"/>
      <c r="S84" s="69"/>
      <c r="T84" s="69"/>
      <c r="U84" s="69"/>
      <c r="V84" s="93">
        <v>220</v>
      </c>
      <c r="W84" s="93">
        <v>176</v>
      </c>
      <c r="X84" s="93"/>
      <c r="Y84" s="93">
        <f>V84-W84</f>
        <v>44</v>
      </c>
      <c r="Z84" s="38"/>
      <c r="AA84" s="69"/>
      <c r="AB84" s="69"/>
      <c r="AC84" s="69"/>
      <c r="AD84" s="69"/>
      <c r="AE84" s="38">
        <f>INT(IF(V84&lt;[1]参数!$F$9,V84*[1]参数!$F$10,[1]参数!$F$9*[1]参数!$F$10+(V84-[1]参数!$F$9)*[1]参数!$G$10))</f>
        <v>175</v>
      </c>
      <c r="AF84" s="38">
        <f t="shared" si="54"/>
        <v>175</v>
      </c>
      <c r="AG84" s="38">
        <f>ROUND((AF84*$AM$1),0)+1</f>
        <v>176</v>
      </c>
      <c r="AH84" s="86" t="s">
        <v>251</v>
      </c>
      <c r="AI84" s="86" t="s">
        <v>252</v>
      </c>
      <c r="AJ84" s="83" t="s">
        <v>72</v>
      </c>
      <c r="AK84" s="45">
        <v>1</v>
      </c>
    </row>
    <row r="85" s="45" customFormat="1" ht="24" customHeight="1" spans="1:36">
      <c r="A85" s="68" t="s">
        <v>93</v>
      </c>
      <c r="B85" s="68" t="s">
        <v>254</v>
      </c>
      <c r="C85" s="68">
        <v>2</v>
      </c>
      <c r="D85" s="69"/>
      <c r="E85" s="68">
        <f t="shared" ref="E85:Z85" si="56">SUM(E86:E87)</f>
        <v>1</v>
      </c>
      <c r="F85" s="68">
        <f t="shared" si="56"/>
        <v>1</v>
      </c>
      <c r="G85" s="68">
        <f t="shared" si="56"/>
        <v>0</v>
      </c>
      <c r="H85" s="68">
        <f t="shared" si="56"/>
        <v>0</v>
      </c>
      <c r="I85" s="68">
        <f t="shared" si="56"/>
        <v>0</v>
      </c>
      <c r="J85" s="68">
        <f t="shared" si="56"/>
        <v>0</v>
      </c>
      <c r="K85" s="68">
        <f t="shared" si="56"/>
        <v>2830</v>
      </c>
      <c r="L85" s="68">
        <f t="shared" si="56"/>
        <v>0</v>
      </c>
      <c r="M85" s="72">
        <f t="shared" si="56"/>
        <v>0</v>
      </c>
      <c r="N85" s="68">
        <f t="shared" si="56"/>
        <v>2830</v>
      </c>
      <c r="O85" s="68">
        <f t="shared" si="56"/>
        <v>138</v>
      </c>
      <c r="P85" s="68">
        <f t="shared" si="56"/>
        <v>219</v>
      </c>
      <c r="Q85" s="68">
        <f t="shared" si="56"/>
        <v>2830</v>
      </c>
      <c r="R85" s="68">
        <f t="shared" si="56"/>
        <v>12</v>
      </c>
      <c r="S85" s="68">
        <f t="shared" si="56"/>
        <v>0</v>
      </c>
      <c r="T85" s="68">
        <f t="shared" si="56"/>
        <v>12</v>
      </c>
      <c r="U85" s="68">
        <f t="shared" si="56"/>
        <v>397</v>
      </c>
      <c r="V85" s="68">
        <f t="shared" si="56"/>
        <v>357</v>
      </c>
      <c r="W85" s="68">
        <f t="shared" si="56"/>
        <v>285</v>
      </c>
      <c r="X85" s="68">
        <f t="shared" si="56"/>
        <v>0</v>
      </c>
      <c r="Y85" s="68">
        <f t="shared" si="56"/>
        <v>0</v>
      </c>
      <c r="Z85" s="68">
        <f t="shared" si="56"/>
        <v>72</v>
      </c>
      <c r="AA85" s="68"/>
      <c r="AB85" s="68"/>
      <c r="AC85" s="68"/>
      <c r="AD85" s="68"/>
      <c r="AE85" s="68"/>
      <c r="AF85" s="68">
        <f>SUM(AF86:AF87)</f>
        <v>285</v>
      </c>
      <c r="AG85" s="68">
        <f>SUM(AG86:AG87)</f>
        <v>285</v>
      </c>
      <c r="AH85" s="81"/>
      <c r="AI85" s="81"/>
      <c r="AJ85" s="84"/>
    </row>
    <row r="86" s="50" customFormat="1" ht="24" customHeight="1" spans="1:36">
      <c r="A86" s="38">
        <v>1</v>
      </c>
      <c r="B86" s="93" t="s">
        <v>255</v>
      </c>
      <c r="C86" s="93" t="s">
        <v>256</v>
      </c>
      <c r="D86" s="93" t="s">
        <v>87</v>
      </c>
      <c r="E86" s="38">
        <v>1</v>
      </c>
      <c r="F86" s="93"/>
      <c r="G86" s="93"/>
      <c r="H86" s="93"/>
      <c r="I86" s="93"/>
      <c r="J86" s="93"/>
      <c r="K86" s="93">
        <v>2830</v>
      </c>
      <c r="L86" s="93"/>
      <c r="M86" s="94" t="s">
        <v>257</v>
      </c>
      <c r="N86" s="93">
        <v>2830</v>
      </c>
      <c r="O86" s="93">
        <v>138</v>
      </c>
      <c r="P86" s="93">
        <v>81</v>
      </c>
      <c r="Q86" s="93">
        <v>2830</v>
      </c>
      <c r="R86" s="93">
        <v>12</v>
      </c>
      <c r="S86" s="93"/>
      <c r="T86" s="93">
        <v>12</v>
      </c>
      <c r="U86" s="93">
        <v>397</v>
      </c>
      <c r="V86" s="93">
        <v>219</v>
      </c>
      <c r="W86" s="93">
        <v>175</v>
      </c>
      <c r="X86" s="93">
        <v>0</v>
      </c>
      <c r="Y86" s="93">
        <v>0</v>
      </c>
      <c r="Z86" s="93">
        <v>44</v>
      </c>
      <c r="AA86" s="38">
        <f>[1]参数!$D$1</f>
        <v>0.096</v>
      </c>
      <c r="AB86" s="38"/>
      <c r="AC86" s="38">
        <f>IF((T86)&gt;=12,3200,IF((T86)&gt;=9,2500,IF((T86)&gt;=6,1800,1200)))</f>
        <v>3200</v>
      </c>
      <c r="AD86" s="38">
        <f>ROUND(MIN(AC86,N86),0)</f>
        <v>2830</v>
      </c>
      <c r="AE86" s="38">
        <f>AA86*AD86</f>
        <v>271.68</v>
      </c>
      <c r="AF86" s="38">
        <f t="shared" ref="AF86:AF90" si="57">ROUND(MIN(AE86,W86),0)</f>
        <v>175</v>
      </c>
      <c r="AG86" s="38">
        <f>ROUND((AF86*$AM$1),0)</f>
        <v>175</v>
      </c>
      <c r="AH86" s="86" t="s">
        <v>251</v>
      </c>
      <c r="AI86" s="86" t="s">
        <v>258</v>
      </c>
      <c r="AJ86" s="83" t="s">
        <v>72</v>
      </c>
    </row>
    <row r="87" s="45" customFormat="1" ht="24" customHeight="1" spans="1:36">
      <c r="A87" s="38">
        <v>2</v>
      </c>
      <c r="B87" s="93" t="s">
        <v>255</v>
      </c>
      <c r="C87" s="93" t="s">
        <v>259</v>
      </c>
      <c r="D87" s="38" t="s">
        <v>70</v>
      </c>
      <c r="E87" s="69"/>
      <c r="F87" s="69">
        <v>1</v>
      </c>
      <c r="G87" s="69"/>
      <c r="H87" s="69"/>
      <c r="I87" s="69"/>
      <c r="J87" s="69"/>
      <c r="K87" s="69"/>
      <c r="L87" s="93"/>
      <c r="M87" s="94" t="s">
        <v>250</v>
      </c>
      <c r="N87" s="69"/>
      <c r="O87" s="69"/>
      <c r="P87" s="93">
        <v>138</v>
      </c>
      <c r="Q87" s="69"/>
      <c r="R87" s="69"/>
      <c r="S87" s="69"/>
      <c r="T87" s="69"/>
      <c r="U87" s="69"/>
      <c r="V87" s="93">
        <v>138</v>
      </c>
      <c r="W87" s="93">
        <v>110</v>
      </c>
      <c r="X87" s="93"/>
      <c r="Y87" s="93"/>
      <c r="Z87" s="93">
        <v>28</v>
      </c>
      <c r="AA87" s="69"/>
      <c r="AB87" s="69"/>
      <c r="AC87" s="69"/>
      <c r="AD87" s="69"/>
      <c r="AE87" s="38">
        <f>INT(IF(V87&lt;[1]参数!$F$9,V87*[1]参数!$F$10,[1]参数!$F$9*[1]参数!$F$10+(V87-[1]参数!$F$9)*[1]参数!$G$10))</f>
        <v>117</v>
      </c>
      <c r="AF87" s="38">
        <f t="shared" si="57"/>
        <v>110</v>
      </c>
      <c r="AG87" s="38">
        <f>ROUND((AF87*$AM$1),0)</f>
        <v>110</v>
      </c>
      <c r="AH87" s="86" t="s">
        <v>260</v>
      </c>
      <c r="AI87" s="86" t="s">
        <v>261</v>
      </c>
      <c r="AJ87" s="83" t="s">
        <v>72</v>
      </c>
    </row>
    <row r="88" s="45" customFormat="1" ht="24" customHeight="1" spans="1:36">
      <c r="A88" s="68" t="s">
        <v>109</v>
      </c>
      <c r="B88" s="68" t="s">
        <v>262</v>
      </c>
      <c r="C88" s="68">
        <v>2</v>
      </c>
      <c r="D88" s="69"/>
      <c r="E88" s="68">
        <f t="shared" ref="E88:Z88" si="58">SUM(E89:E90)</f>
        <v>0</v>
      </c>
      <c r="F88" s="68">
        <f t="shared" si="58"/>
        <v>2</v>
      </c>
      <c r="G88" s="68">
        <f t="shared" si="58"/>
        <v>0</v>
      </c>
      <c r="H88" s="68">
        <f t="shared" si="58"/>
        <v>0</v>
      </c>
      <c r="I88" s="68">
        <f t="shared" si="58"/>
        <v>0</v>
      </c>
      <c r="J88" s="68">
        <f t="shared" si="58"/>
        <v>0</v>
      </c>
      <c r="K88" s="68">
        <f t="shared" si="58"/>
        <v>0</v>
      </c>
      <c r="L88" s="68">
        <f t="shared" si="58"/>
        <v>0</v>
      </c>
      <c r="M88" s="72">
        <f t="shared" si="58"/>
        <v>0</v>
      </c>
      <c r="N88" s="68">
        <f t="shared" si="58"/>
        <v>0</v>
      </c>
      <c r="O88" s="68">
        <f t="shared" si="58"/>
        <v>0</v>
      </c>
      <c r="P88" s="68">
        <f t="shared" si="58"/>
        <v>166</v>
      </c>
      <c r="Q88" s="68">
        <f t="shared" si="58"/>
        <v>0</v>
      </c>
      <c r="R88" s="68">
        <f t="shared" si="58"/>
        <v>0</v>
      </c>
      <c r="S88" s="68">
        <f t="shared" si="58"/>
        <v>0</v>
      </c>
      <c r="T88" s="68">
        <f t="shared" si="58"/>
        <v>0</v>
      </c>
      <c r="U88" s="68">
        <f t="shared" si="58"/>
        <v>0</v>
      </c>
      <c r="V88" s="68">
        <f t="shared" si="58"/>
        <v>166</v>
      </c>
      <c r="W88" s="68">
        <f t="shared" si="58"/>
        <v>166</v>
      </c>
      <c r="X88" s="68">
        <f t="shared" si="58"/>
        <v>0</v>
      </c>
      <c r="Y88" s="68">
        <f t="shared" si="58"/>
        <v>0</v>
      </c>
      <c r="Z88" s="68">
        <f t="shared" si="58"/>
        <v>0</v>
      </c>
      <c r="AA88" s="68"/>
      <c r="AB88" s="68"/>
      <c r="AC88" s="68"/>
      <c r="AD88" s="68"/>
      <c r="AE88" s="68"/>
      <c r="AF88" s="68">
        <f>SUM(AF89:AF90)</f>
        <v>140</v>
      </c>
      <c r="AG88" s="68">
        <f>SUM(AG89:AG90)</f>
        <v>140</v>
      </c>
      <c r="AH88" s="81"/>
      <c r="AI88" s="81"/>
      <c r="AJ88" s="84"/>
    </row>
    <row r="89" s="45" customFormat="1" ht="24" customHeight="1" spans="1:36">
      <c r="A89" s="38">
        <v>1</v>
      </c>
      <c r="B89" s="38" t="s">
        <v>263</v>
      </c>
      <c r="C89" s="38" t="s">
        <v>264</v>
      </c>
      <c r="D89" s="38" t="s">
        <v>70</v>
      </c>
      <c r="E89" s="69"/>
      <c r="F89" s="69">
        <v>1</v>
      </c>
      <c r="G89" s="69"/>
      <c r="H89" s="69"/>
      <c r="I89" s="69"/>
      <c r="J89" s="69"/>
      <c r="K89" s="69"/>
      <c r="L89" s="38"/>
      <c r="M89" s="73" t="s">
        <v>265</v>
      </c>
      <c r="N89" s="69"/>
      <c r="O89" s="69"/>
      <c r="P89" s="38">
        <v>96</v>
      </c>
      <c r="Q89" s="69"/>
      <c r="R89" s="69"/>
      <c r="S89" s="69"/>
      <c r="T89" s="69"/>
      <c r="U89" s="69"/>
      <c r="V89" s="38">
        <v>96</v>
      </c>
      <c r="W89" s="38">
        <v>96</v>
      </c>
      <c r="X89" s="38"/>
      <c r="Y89" s="38"/>
      <c r="Z89" s="38"/>
      <c r="AA89" s="69"/>
      <c r="AB89" s="69"/>
      <c r="AC89" s="69"/>
      <c r="AD89" s="69"/>
      <c r="AE89" s="38">
        <f>INT(IF(V89&lt;[1]参数!$F$9,V89*[1]参数!$F$10,[1]参数!$F$9*[1]参数!$F$10+(V89-[1]参数!$F$9)*[1]参数!$G$10))</f>
        <v>81</v>
      </c>
      <c r="AF89" s="38">
        <f t="shared" si="57"/>
        <v>81</v>
      </c>
      <c r="AG89" s="38">
        <f>ROUND((AF89*$AM$1),0)</f>
        <v>81</v>
      </c>
      <c r="AH89" s="82">
        <v>45444</v>
      </c>
      <c r="AI89" s="82">
        <v>45536</v>
      </c>
      <c r="AJ89" s="83" t="s">
        <v>72</v>
      </c>
    </row>
    <row r="90" s="45" customFormat="1" ht="24" customHeight="1" spans="1:36">
      <c r="A90" s="38">
        <v>2</v>
      </c>
      <c r="B90" s="38" t="s">
        <v>263</v>
      </c>
      <c r="C90" s="38" t="s">
        <v>266</v>
      </c>
      <c r="D90" s="38" t="s">
        <v>70</v>
      </c>
      <c r="E90" s="69"/>
      <c r="F90" s="69">
        <v>1</v>
      </c>
      <c r="G90" s="69"/>
      <c r="H90" s="69"/>
      <c r="I90" s="69"/>
      <c r="J90" s="69"/>
      <c r="K90" s="69"/>
      <c r="L90" s="38"/>
      <c r="M90" s="73" t="s">
        <v>267</v>
      </c>
      <c r="N90" s="69"/>
      <c r="O90" s="69"/>
      <c r="P90" s="38">
        <v>70</v>
      </c>
      <c r="Q90" s="69"/>
      <c r="R90" s="69"/>
      <c r="S90" s="69"/>
      <c r="T90" s="69"/>
      <c r="U90" s="69"/>
      <c r="V90" s="38">
        <v>70</v>
      </c>
      <c r="W90" s="38">
        <v>70</v>
      </c>
      <c r="X90" s="38"/>
      <c r="Y90" s="38"/>
      <c r="Z90" s="38"/>
      <c r="AA90" s="69"/>
      <c r="AB90" s="69"/>
      <c r="AC90" s="69"/>
      <c r="AD90" s="69"/>
      <c r="AE90" s="38">
        <f>INT(IF(V90&lt;[1]参数!$F$9,V90*[1]参数!$F$10,[1]参数!$F$9*[1]参数!$F$10+(V90-[1]参数!$F$9)*[1]参数!$G$10))</f>
        <v>59</v>
      </c>
      <c r="AF90" s="38">
        <f t="shared" si="57"/>
        <v>59</v>
      </c>
      <c r="AG90" s="38">
        <f>ROUND((AF90*$AM$1),0)</f>
        <v>59</v>
      </c>
      <c r="AH90" s="82">
        <v>45446</v>
      </c>
      <c r="AI90" s="82">
        <v>45538</v>
      </c>
      <c r="AJ90" s="83" t="s">
        <v>72</v>
      </c>
    </row>
    <row r="91" s="45" customFormat="1" ht="24" customHeight="1" spans="1:36">
      <c r="A91" s="68" t="s">
        <v>118</v>
      </c>
      <c r="B91" s="68" t="s">
        <v>268</v>
      </c>
      <c r="C91" s="68">
        <v>1</v>
      </c>
      <c r="D91" s="69"/>
      <c r="E91" s="68">
        <f t="shared" ref="E91:Z91" si="59">SUM(E92)</f>
        <v>0</v>
      </c>
      <c r="F91" s="68">
        <f t="shared" si="59"/>
        <v>1</v>
      </c>
      <c r="G91" s="68">
        <f t="shared" si="59"/>
        <v>0</v>
      </c>
      <c r="H91" s="68">
        <f t="shared" si="59"/>
        <v>0</v>
      </c>
      <c r="I91" s="68">
        <f t="shared" si="59"/>
        <v>0</v>
      </c>
      <c r="J91" s="68">
        <f t="shared" si="59"/>
        <v>0</v>
      </c>
      <c r="K91" s="68">
        <f t="shared" si="59"/>
        <v>0</v>
      </c>
      <c r="L91" s="68">
        <f t="shared" si="59"/>
        <v>0</v>
      </c>
      <c r="M91" s="72">
        <f t="shared" si="59"/>
        <v>0</v>
      </c>
      <c r="N91" s="68">
        <f t="shared" si="59"/>
        <v>0</v>
      </c>
      <c r="O91" s="68">
        <f t="shared" si="59"/>
        <v>0</v>
      </c>
      <c r="P91" s="68">
        <f t="shared" si="59"/>
        <v>75</v>
      </c>
      <c r="Q91" s="68">
        <f t="shared" si="59"/>
        <v>0</v>
      </c>
      <c r="R91" s="68">
        <f t="shared" si="59"/>
        <v>0</v>
      </c>
      <c r="S91" s="68">
        <f t="shared" si="59"/>
        <v>0</v>
      </c>
      <c r="T91" s="68">
        <f t="shared" si="59"/>
        <v>0</v>
      </c>
      <c r="U91" s="68">
        <f t="shared" si="59"/>
        <v>0</v>
      </c>
      <c r="V91" s="68">
        <f t="shared" si="59"/>
        <v>75</v>
      </c>
      <c r="W91" s="68">
        <f t="shared" si="59"/>
        <v>75</v>
      </c>
      <c r="X91" s="68">
        <f t="shared" si="59"/>
        <v>0</v>
      </c>
      <c r="Y91" s="68">
        <f t="shared" si="59"/>
        <v>0</v>
      </c>
      <c r="Z91" s="68">
        <f t="shared" si="59"/>
        <v>0</v>
      </c>
      <c r="AA91" s="68"/>
      <c r="AB91" s="68"/>
      <c r="AC91" s="68"/>
      <c r="AD91" s="68"/>
      <c r="AE91" s="68"/>
      <c r="AF91" s="68">
        <f>SUM(AF92)</f>
        <v>63</v>
      </c>
      <c r="AG91" s="68">
        <f>SUM(AG92)</f>
        <v>63</v>
      </c>
      <c r="AH91" s="81"/>
      <c r="AI91" s="81"/>
      <c r="AJ91" s="84"/>
    </row>
    <row r="92" s="45" customFormat="1" ht="24" customHeight="1" spans="1:36">
      <c r="A92" s="38">
        <v>1</v>
      </c>
      <c r="B92" s="38" t="s">
        <v>269</v>
      </c>
      <c r="C92" s="93" t="s">
        <v>270</v>
      </c>
      <c r="D92" s="38" t="s">
        <v>70</v>
      </c>
      <c r="E92" s="69"/>
      <c r="F92" s="69">
        <v>1</v>
      </c>
      <c r="G92" s="69"/>
      <c r="H92" s="69"/>
      <c r="I92" s="69"/>
      <c r="J92" s="69"/>
      <c r="K92" s="69"/>
      <c r="L92" s="93"/>
      <c r="M92" s="94" t="s">
        <v>271</v>
      </c>
      <c r="N92" s="69"/>
      <c r="O92" s="69"/>
      <c r="P92" s="93">
        <v>75</v>
      </c>
      <c r="Q92" s="69"/>
      <c r="R92" s="69"/>
      <c r="S92" s="69"/>
      <c r="T92" s="69"/>
      <c r="U92" s="69"/>
      <c r="V92" s="93">
        <v>75</v>
      </c>
      <c r="W92" s="93">
        <v>75</v>
      </c>
      <c r="X92" s="93"/>
      <c r="Y92" s="93"/>
      <c r="Z92" s="93"/>
      <c r="AA92" s="69"/>
      <c r="AB92" s="69"/>
      <c r="AC92" s="69"/>
      <c r="AD92" s="69"/>
      <c r="AE92" s="38">
        <f>INT(IF(V92&lt;[1]参数!$F$9,V92*[1]参数!$F$10,[1]参数!$F$9*[1]参数!$F$10+(V92-[1]参数!$F$9)*[1]参数!$G$10))</f>
        <v>63</v>
      </c>
      <c r="AF92" s="38">
        <f t="shared" ref="AF92:AF96" si="60">ROUND(MIN(AE92,W92),0)</f>
        <v>63</v>
      </c>
      <c r="AG92" s="38">
        <f>ROUND((AF92*$AM$1),0)</f>
        <v>63</v>
      </c>
      <c r="AH92" s="82">
        <v>45323</v>
      </c>
      <c r="AI92" s="82">
        <v>45597</v>
      </c>
      <c r="AJ92" s="83" t="s">
        <v>72</v>
      </c>
    </row>
    <row r="93" s="45" customFormat="1" ht="24" customHeight="1" spans="1:36">
      <c r="A93" s="38"/>
      <c r="B93" s="68" t="s">
        <v>272</v>
      </c>
      <c r="C93" s="68">
        <f t="shared" ref="C93:AG93" si="61">C94+C97+C100+C112+C115+C120+C123+C104+C107+C110+C118+C127</f>
        <v>24</v>
      </c>
      <c r="D93" s="68">
        <f t="shared" si="61"/>
        <v>0</v>
      </c>
      <c r="E93" s="68">
        <f t="shared" si="61"/>
        <v>11</v>
      </c>
      <c r="F93" s="68">
        <f t="shared" si="61"/>
        <v>7</v>
      </c>
      <c r="G93" s="68">
        <f t="shared" si="61"/>
        <v>0</v>
      </c>
      <c r="H93" s="68">
        <f t="shared" si="61"/>
        <v>6</v>
      </c>
      <c r="I93" s="68">
        <f t="shared" si="61"/>
        <v>0</v>
      </c>
      <c r="J93" s="68">
        <f t="shared" si="61"/>
        <v>0</v>
      </c>
      <c r="K93" s="68">
        <f t="shared" si="61"/>
        <v>83410.9</v>
      </c>
      <c r="L93" s="68">
        <f t="shared" si="61"/>
        <v>0</v>
      </c>
      <c r="M93" s="72">
        <f t="shared" si="61"/>
        <v>0</v>
      </c>
      <c r="N93" s="68">
        <f t="shared" si="61"/>
        <v>68016.84</v>
      </c>
      <c r="O93" s="68">
        <f t="shared" si="61"/>
        <v>3544</v>
      </c>
      <c r="P93" s="68">
        <f t="shared" si="61"/>
        <v>3367.5</v>
      </c>
      <c r="Q93" s="68">
        <f t="shared" si="61"/>
        <v>63012.84</v>
      </c>
      <c r="R93" s="68">
        <f t="shared" si="61"/>
        <v>208</v>
      </c>
      <c r="S93" s="68">
        <f t="shared" si="61"/>
        <v>1920</v>
      </c>
      <c r="T93" s="68">
        <f t="shared" si="61"/>
        <v>144</v>
      </c>
      <c r="U93" s="68">
        <f t="shared" si="61"/>
        <v>4647</v>
      </c>
      <c r="V93" s="68">
        <f t="shared" si="61"/>
        <v>6911.5</v>
      </c>
      <c r="W93" s="68">
        <f t="shared" si="61"/>
        <v>5152</v>
      </c>
      <c r="X93" s="68">
        <f t="shared" si="61"/>
        <v>0</v>
      </c>
      <c r="Y93" s="68">
        <f t="shared" si="61"/>
        <v>1244.5</v>
      </c>
      <c r="Z93" s="68">
        <f t="shared" si="61"/>
        <v>515</v>
      </c>
      <c r="AA93" s="68">
        <f t="shared" si="61"/>
        <v>0</v>
      </c>
      <c r="AB93" s="68">
        <f t="shared" si="61"/>
        <v>0</v>
      </c>
      <c r="AC93" s="68">
        <f t="shared" si="61"/>
        <v>0</v>
      </c>
      <c r="AD93" s="68">
        <f t="shared" si="61"/>
        <v>0</v>
      </c>
      <c r="AE93" s="68">
        <f t="shared" si="61"/>
        <v>0</v>
      </c>
      <c r="AF93" s="68">
        <f t="shared" si="61"/>
        <v>4174</v>
      </c>
      <c r="AG93" s="68">
        <f t="shared" si="61"/>
        <v>4174</v>
      </c>
      <c r="AH93" s="81"/>
      <c r="AI93" s="95"/>
      <c r="AJ93" s="83"/>
    </row>
    <row r="94" s="45" customFormat="1" ht="24" customHeight="1" spans="1:36">
      <c r="A94" s="68" t="s">
        <v>44</v>
      </c>
      <c r="B94" s="68" t="s">
        <v>45</v>
      </c>
      <c r="C94" s="68">
        <v>2</v>
      </c>
      <c r="D94" s="69"/>
      <c r="E94" s="68">
        <f t="shared" ref="E94:Z94" si="62">SUM(E95:E96)</f>
        <v>1</v>
      </c>
      <c r="F94" s="68">
        <f t="shared" si="62"/>
        <v>1</v>
      </c>
      <c r="G94" s="68">
        <f t="shared" si="62"/>
        <v>0</v>
      </c>
      <c r="H94" s="68">
        <f t="shared" si="62"/>
        <v>0</v>
      </c>
      <c r="I94" s="68">
        <f t="shared" si="62"/>
        <v>0</v>
      </c>
      <c r="J94" s="68">
        <f t="shared" si="62"/>
        <v>0</v>
      </c>
      <c r="K94" s="68">
        <f t="shared" si="62"/>
        <v>1800</v>
      </c>
      <c r="L94" s="68">
        <f t="shared" si="62"/>
        <v>0</v>
      </c>
      <c r="M94" s="72">
        <f t="shared" si="62"/>
        <v>0</v>
      </c>
      <c r="N94" s="68">
        <f t="shared" si="62"/>
        <v>1960</v>
      </c>
      <c r="O94" s="68">
        <f t="shared" si="62"/>
        <v>108</v>
      </c>
      <c r="P94" s="68">
        <f t="shared" si="62"/>
        <v>136</v>
      </c>
      <c r="Q94" s="68">
        <f t="shared" si="62"/>
        <v>1960</v>
      </c>
      <c r="R94" s="68">
        <f t="shared" si="62"/>
        <v>6</v>
      </c>
      <c r="S94" s="68">
        <f t="shared" si="62"/>
        <v>0</v>
      </c>
      <c r="T94" s="68">
        <f t="shared" si="62"/>
        <v>6</v>
      </c>
      <c r="U94" s="68">
        <f t="shared" si="62"/>
        <v>180</v>
      </c>
      <c r="V94" s="68">
        <f t="shared" si="62"/>
        <v>244</v>
      </c>
      <c r="W94" s="68">
        <f t="shared" si="62"/>
        <v>244</v>
      </c>
      <c r="X94" s="68">
        <f t="shared" si="62"/>
        <v>0</v>
      </c>
      <c r="Y94" s="68">
        <f t="shared" si="62"/>
        <v>0</v>
      </c>
      <c r="Z94" s="68">
        <f t="shared" si="62"/>
        <v>0</v>
      </c>
      <c r="AA94" s="68"/>
      <c r="AB94" s="68"/>
      <c r="AC94" s="68"/>
      <c r="AD94" s="68"/>
      <c r="AE94" s="68"/>
      <c r="AF94" s="68">
        <f>SUM(AF95:AF96)</f>
        <v>229</v>
      </c>
      <c r="AG94" s="68">
        <f>SUM(AG95:AG96)</f>
        <v>229</v>
      </c>
      <c r="AH94" s="81"/>
      <c r="AI94" s="81"/>
      <c r="AJ94" s="84"/>
    </row>
    <row r="95" s="47" customFormat="1" ht="24" customHeight="1" spans="1:36">
      <c r="A95" s="38">
        <v>1</v>
      </c>
      <c r="B95" s="38" t="s">
        <v>273</v>
      </c>
      <c r="C95" s="38" t="s">
        <v>274</v>
      </c>
      <c r="D95" s="38" t="s">
        <v>87</v>
      </c>
      <c r="E95" s="38">
        <v>1</v>
      </c>
      <c r="F95" s="38"/>
      <c r="G95" s="38"/>
      <c r="H95" s="38"/>
      <c r="I95" s="38"/>
      <c r="J95" s="38"/>
      <c r="K95" s="38">
        <v>1800</v>
      </c>
      <c r="L95" s="38"/>
      <c r="M95" s="73" t="s">
        <v>275</v>
      </c>
      <c r="N95" s="38">
        <v>1960</v>
      </c>
      <c r="O95" s="38">
        <v>108</v>
      </c>
      <c r="P95" s="38">
        <v>36</v>
      </c>
      <c r="Q95" s="38">
        <v>1960</v>
      </c>
      <c r="R95" s="38">
        <v>6</v>
      </c>
      <c r="S95" s="38"/>
      <c r="T95" s="38">
        <v>6</v>
      </c>
      <c r="U95" s="38">
        <v>180</v>
      </c>
      <c r="V95" s="38">
        <v>144</v>
      </c>
      <c r="W95" s="38">
        <v>144</v>
      </c>
      <c r="X95" s="38">
        <v>0</v>
      </c>
      <c r="Y95" s="38">
        <v>0</v>
      </c>
      <c r="Z95" s="38">
        <v>0</v>
      </c>
      <c r="AA95" s="38">
        <f>[1]参数!$D$1</f>
        <v>0.096</v>
      </c>
      <c r="AB95" s="38"/>
      <c r="AC95" s="38">
        <f>IF((T95)&gt;=12,3200,IF((T95)&gt;=9,2500,IF((T95)&gt;=6,1800,1200)))</f>
        <v>1800</v>
      </c>
      <c r="AD95" s="38">
        <f>ROUND(MIN(AC95,N95),0)</f>
        <v>1800</v>
      </c>
      <c r="AE95" s="38">
        <f>AA95*AD95</f>
        <v>172.8</v>
      </c>
      <c r="AF95" s="38">
        <f t="shared" si="60"/>
        <v>144</v>
      </c>
      <c r="AG95" s="38">
        <f>ROUND((AF95*$AM$1),0)</f>
        <v>144</v>
      </c>
      <c r="AH95" s="82">
        <v>45352</v>
      </c>
      <c r="AI95" s="82">
        <v>45536</v>
      </c>
      <c r="AJ95" s="83" t="s">
        <v>276</v>
      </c>
    </row>
    <row r="96" s="45" customFormat="1" ht="24" customHeight="1" spans="1:36">
      <c r="A96" s="38">
        <v>2</v>
      </c>
      <c r="B96" s="38" t="s">
        <v>277</v>
      </c>
      <c r="C96" s="38" t="s">
        <v>278</v>
      </c>
      <c r="D96" s="38" t="s">
        <v>70</v>
      </c>
      <c r="E96" s="69"/>
      <c r="F96" s="69">
        <v>1</v>
      </c>
      <c r="G96" s="69"/>
      <c r="H96" s="69"/>
      <c r="I96" s="69"/>
      <c r="J96" s="69"/>
      <c r="K96" s="69"/>
      <c r="L96" s="38"/>
      <c r="M96" s="73" t="s">
        <v>279</v>
      </c>
      <c r="N96" s="69"/>
      <c r="O96" s="69"/>
      <c r="P96" s="38">
        <v>100</v>
      </c>
      <c r="Q96" s="69"/>
      <c r="R96" s="69"/>
      <c r="S96" s="69"/>
      <c r="T96" s="69"/>
      <c r="U96" s="69"/>
      <c r="V96" s="38">
        <v>100</v>
      </c>
      <c r="W96" s="38">
        <v>100</v>
      </c>
      <c r="X96" s="38">
        <v>0</v>
      </c>
      <c r="Y96" s="38">
        <v>0</v>
      </c>
      <c r="Z96" s="38">
        <v>0</v>
      </c>
      <c r="AA96" s="69"/>
      <c r="AB96" s="69"/>
      <c r="AC96" s="69"/>
      <c r="AD96" s="69"/>
      <c r="AE96" s="38">
        <f>INT(IF(V96&lt;[1]参数!$F$9,V96*[1]参数!$F$10,[1]参数!$F$9*[1]参数!$F$10+(V96-[1]参数!$F$9)*[1]参数!$G$10))</f>
        <v>85</v>
      </c>
      <c r="AF96" s="38">
        <f t="shared" si="60"/>
        <v>85</v>
      </c>
      <c r="AG96" s="38">
        <f>ROUND((AF96*$AM$1),0)</f>
        <v>85</v>
      </c>
      <c r="AH96" s="82">
        <v>45413</v>
      </c>
      <c r="AI96" s="82">
        <v>45536</v>
      </c>
      <c r="AJ96" s="83" t="s">
        <v>280</v>
      </c>
    </row>
    <row r="97" s="45" customFormat="1" ht="24" customHeight="1" spans="1:36">
      <c r="A97" s="68" t="s">
        <v>50</v>
      </c>
      <c r="B97" s="68" t="s">
        <v>281</v>
      </c>
      <c r="C97" s="68">
        <v>2</v>
      </c>
      <c r="D97" s="69"/>
      <c r="E97" s="68">
        <f t="shared" ref="E97:Z97" si="63">SUM(E98:E99)</f>
        <v>1</v>
      </c>
      <c r="F97" s="68">
        <f t="shared" si="63"/>
        <v>1</v>
      </c>
      <c r="G97" s="68">
        <f t="shared" si="63"/>
        <v>0</v>
      </c>
      <c r="H97" s="68">
        <f t="shared" si="63"/>
        <v>0</v>
      </c>
      <c r="I97" s="68">
        <f t="shared" si="63"/>
        <v>0</v>
      </c>
      <c r="J97" s="68">
        <f t="shared" si="63"/>
        <v>0</v>
      </c>
      <c r="K97" s="68">
        <f t="shared" si="63"/>
        <v>1416</v>
      </c>
      <c r="L97" s="68">
        <f t="shared" si="63"/>
        <v>0</v>
      </c>
      <c r="M97" s="72">
        <f t="shared" si="63"/>
        <v>0</v>
      </c>
      <c r="N97" s="68">
        <f t="shared" si="63"/>
        <v>2278</v>
      </c>
      <c r="O97" s="68">
        <f t="shared" si="63"/>
        <v>110</v>
      </c>
      <c r="P97" s="68">
        <f t="shared" si="63"/>
        <v>225</v>
      </c>
      <c r="Q97" s="68">
        <f t="shared" si="63"/>
        <v>2278</v>
      </c>
      <c r="R97" s="68">
        <f t="shared" si="63"/>
        <v>9</v>
      </c>
      <c r="S97" s="68">
        <f t="shared" si="63"/>
        <v>0</v>
      </c>
      <c r="T97" s="68">
        <f t="shared" si="63"/>
        <v>9</v>
      </c>
      <c r="U97" s="68">
        <f t="shared" si="63"/>
        <v>250</v>
      </c>
      <c r="V97" s="68">
        <f t="shared" si="63"/>
        <v>335</v>
      </c>
      <c r="W97" s="68">
        <f t="shared" si="63"/>
        <v>280</v>
      </c>
      <c r="X97" s="68">
        <f t="shared" si="63"/>
        <v>0</v>
      </c>
      <c r="Y97" s="68">
        <f t="shared" si="63"/>
        <v>55</v>
      </c>
      <c r="Z97" s="68">
        <f t="shared" si="63"/>
        <v>0</v>
      </c>
      <c r="AA97" s="68"/>
      <c r="AB97" s="68"/>
      <c r="AC97" s="68"/>
      <c r="AD97" s="68"/>
      <c r="AE97" s="68"/>
      <c r="AF97" s="68">
        <f>SUM(AF98:AF99)</f>
        <v>256</v>
      </c>
      <c r="AG97" s="68">
        <f>SUM(AG98:AG99)</f>
        <v>256</v>
      </c>
      <c r="AH97" s="95"/>
      <c r="AI97" s="95"/>
      <c r="AJ97" s="83"/>
    </row>
    <row r="98" s="47" customFormat="1" ht="24" customHeight="1" spans="1:36">
      <c r="A98" s="38">
        <v>1</v>
      </c>
      <c r="B98" s="38" t="s">
        <v>273</v>
      </c>
      <c r="C98" s="38" t="s">
        <v>282</v>
      </c>
      <c r="D98" s="38" t="s">
        <v>87</v>
      </c>
      <c r="E98" s="38">
        <v>1</v>
      </c>
      <c r="F98" s="38"/>
      <c r="G98" s="38"/>
      <c r="H98" s="38"/>
      <c r="I98" s="38"/>
      <c r="J98" s="38"/>
      <c r="K98" s="38">
        <v>1416</v>
      </c>
      <c r="L98" s="38"/>
      <c r="M98" s="73" t="s">
        <v>283</v>
      </c>
      <c r="N98" s="38">
        <v>2278</v>
      </c>
      <c r="O98" s="38">
        <v>110</v>
      </c>
      <c r="P98" s="38">
        <v>65</v>
      </c>
      <c r="Q98" s="38">
        <v>2278</v>
      </c>
      <c r="R98" s="38">
        <v>9</v>
      </c>
      <c r="S98" s="38"/>
      <c r="T98" s="38">
        <v>9</v>
      </c>
      <c r="U98" s="38">
        <v>250</v>
      </c>
      <c r="V98" s="38">
        <v>175</v>
      </c>
      <c r="W98" s="38">
        <v>120</v>
      </c>
      <c r="X98" s="38">
        <v>0</v>
      </c>
      <c r="Y98" s="38">
        <v>55</v>
      </c>
      <c r="Z98" s="38">
        <v>0</v>
      </c>
      <c r="AA98" s="38">
        <f>[1]参数!$D$1</f>
        <v>0.096</v>
      </c>
      <c r="AB98" s="38"/>
      <c r="AC98" s="38">
        <f>IF((T98)&gt;=12,3200,IF((T98)&gt;=9,2500,IF((T98)&gt;=6,1800,1200)))</f>
        <v>2500</v>
      </c>
      <c r="AD98" s="38">
        <f>ROUND(MIN(AC98,N98),0)</f>
        <v>2278</v>
      </c>
      <c r="AE98" s="38">
        <f>AA98*AD98</f>
        <v>218.688</v>
      </c>
      <c r="AF98" s="38">
        <f t="shared" ref="AF98:AF102" si="64">ROUND(MIN(AE98,W98),0)</f>
        <v>120</v>
      </c>
      <c r="AG98" s="38">
        <f>ROUND((AF98*$AM$1),0)</f>
        <v>120</v>
      </c>
      <c r="AH98" s="82">
        <v>45474</v>
      </c>
      <c r="AI98" s="82">
        <v>45505</v>
      </c>
      <c r="AJ98" s="83" t="s">
        <v>227</v>
      </c>
    </row>
    <row r="99" s="45" customFormat="1" ht="24" customHeight="1" spans="1:36">
      <c r="A99" s="38">
        <v>2</v>
      </c>
      <c r="B99" s="38" t="s">
        <v>284</v>
      </c>
      <c r="C99" s="38" t="s">
        <v>285</v>
      </c>
      <c r="D99" s="38" t="s">
        <v>70</v>
      </c>
      <c r="E99" s="69"/>
      <c r="F99" s="69">
        <v>1</v>
      </c>
      <c r="G99" s="69"/>
      <c r="H99" s="69"/>
      <c r="I99" s="69"/>
      <c r="J99" s="69"/>
      <c r="K99" s="69"/>
      <c r="L99" s="38"/>
      <c r="M99" s="73" t="s">
        <v>286</v>
      </c>
      <c r="N99" s="69"/>
      <c r="O99" s="69"/>
      <c r="P99" s="38">
        <v>160</v>
      </c>
      <c r="Q99" s="69"/>
      <c r="R99" s="69"/>
      <c r="S99" s="69"/>
      <c r="T99" s="69"/>
      <c r="U99" s="69"/>
      <c r="V99" s="38">
        <v>160</v>
      </c>
      <c r="W99" s="38">
        <v>160</v>
      </c>
      <c r="X99" s="38">
        <v>0</v>
      </c>
      <c r="Y99" s="38">
        <v>0</v>
      </c>
      <c r="Z99" s="38">
        <v>0</v>
      </c>
      <c r="AA99" s="69"/>
      <c r="AB99" s="69"/>
      <c r="AC99" s="69"/>
      <c r="AD99" s="69"/>
      <c r="AE99" s="38">
        <f>INT(IF(V99&lt;[1]参数!$F$9,V99*[1]参数!$F$10,[1]参数!$F$9*[1]参数!$F$10+(V99-[1]参数!$F$9)*[1]参数!$G$10))</f>
        <v>136</v>
      </c>
      <c r="AF99" s="38">
        <f t="shared" si="64"/>
        <v>136</v>
      </c>
      <c r="AG99" s="38">
        <f>ROUND((AF99*$AM$1),0)</f>
        <v>136</v>
      </c>
      <c r="AH99" s="82">
        <v>45323</v>
      </c>
      <c r="AI99" s="82">
        <v>45566</v>
      </c>
      <c r="AJ99" s="83" t="s">
        <v>227</v>
      </c>
    </row>
    <row r="100" s="45" customFormat="1" ht="24" customHeight="1" spans="1:36">
      <c r="A100" s="68" t="s">
        <v>59</v>
      </c>
      <c r="B100" s="68" t="s">
        <v>287</v>
      </c>
      <c r="C100" s="68">
        <v>3</v>
      </c>
      <c r="D100" s="69"/>
      <c r="E100" s="68">
        <f t="shared" ref="E100:Z100" si="65">SUM(E101:E103)</f>
        <v>1</v>
      </c>
      <c r="F100" s="68">
        <f t="shared" si="65"/>
        <v>1</v>
      </c>
      <c r="G100" s="68">
        <f t="shared" si="65"/>
        <v>0</v>
      </c>
      <c r="H100" s="68">
        <f t="shared" si="65"/>
        <v>1</v>
      </c>
      <c r="I100" s="68">
        <f t="shared" si="65"/>
        <v>0</v>
      </c>
      <c r="J100" s="68">
        <f t="shared" si="65"/>
        <v>0</v>
      </c>
      <c r="K100" s="68">
        <f t="shared" si="65"/>
        <v>10799</v>
      </c>
      <c r="L100" s="68">
        <f t="shared" si="65"/>
        <v>0</v>
      </c>
      <c r="M100" s="72">
        <f t="shared" si="65"/>
        <v>0</v>
      </c>
      <c r="N100" s="68">
        <f t="shared" si="65"/>
        <v>7007</v>
      </c>
      <c r="O100" s="68">
        <f t="shared" si="65"/>
        <v>236</v>
      </c>
      <c r="P100" s="68">
        <f t="shared" si="65"/>
        <v>800</v>
      </c>
      <c r="Q100" s="68">
        <f t="shared" si="65"/>
        <v>2003</v>
      </c>
      <c r="R100" s="68">
        <f t="shared" si="65"/>
        <v>27</v>
      </c>
      <c r="S100" s="68">
        <f t="shared" si="65"/>
        <v>450</v>
      </c>
      <c r="T100" s="68">
        <f t="shared" si="65"/>
        <v>12</v>
      </c>
      <c r="U100" s="68">
        <f t="shared" si="65"/>
        <v>400</v>
      </c>
      <c r="V100" s="68">
        <f t="shared" si="65"/>
        <v>1036</v>
      </c>
      <c r="W100" s="68">
        <f t="shared" si="65"/>
        <v>750</v>
      </c>
      <c r="X100" s="68">
        <f t="shared" si="65"/>
        <v>0</v>
      </c>
      <c r="Y100" s="68">
        <f t="shared" si="65"/>
        <v>286</v>
      </c>
      <c r="Z100" s="68">
        <f t="shared" si="65"/>
        <v>0</v>
      </c>
      <c r="AA100" s="68"/>
      <c r="AB100" s="68"/>
      <c r="AC100" s="68"/>
      <c r="AD100" s="68"/>
      <c r="AE100" s="68"/>
      <c r="AF100" s="68">
        <f>SUM(AF101:AF103)</f>
        <v>658</v>
      </c>
      <c r="AG100" s="68">
        <f>SUM(AG101:AG103)</f>
        <v>658</v>
      </c>
      <c r="AH100" s="81"/>
      <c r="AI100" s="81"/>
      <c r="AJ100" s="83"/>
    </row>
    <row r="101" s="47" customFormat="1" ht="24" customHeight="1" spans="1:36">
      <c r="A101" s="38">
        <v>1</v>
      </c>
      <c r="B101" s="38" t="s">
        <v>288</v>
      </c>
      <c r="C101" s="38" t="s">
        <v>289</v>
      </c>
      <c r="D101" s="38" t="s">
        <v>87</v>
      </c>
      <c r="E101" s="38">
        <v>1</v>
      </c>
      <c r="F101" s="38"/>
      <c r="G101" s="38"/>
      <c r="H101" s="38"/>
      <c r="I101" s="38"/>
      <c r="J101" s="38"/>
      <c r="K101" s="38">
        <v>4499</v>
      </c>
      <c r="L101" s="38"/>
      <c r="M101" s="73" t="s">
        <v>290</v>
      </c>
      <c r="N101" s="38">
        <v>2003</v>
      </c>
      <c r="O101" s="38">
        <v>236</v>
      </c>
      <c r="P101" s="38">
        <v>0</v>
      </c>
      <c r="Q101" s="38">
        <v>2003</v>
      </c>
      <c r="R101" s="38">
        <v>12</v>
      </c>
      <c r="S101" s="38"/>
      <c r="T101" s="38">
        <v>12</v>
      </c>
      <c r="U101" s="38">
        <v>400</v>
      </c>
      <c r="V101" s="38">
        <v>236</v>
      </c>
      <c r="W101" s="38">
        <v>150</v>
      </c>
      <c r="X101" s="38">
        <v>0</v>
      </c>
      <c r="Y101" s="38">
        <v>86</v>
      </c>
      <c r="Z101" s="38">
        <v>0</v>
      </c>
      <c r="AA101" s="38">
        <f>[1]参数!$D$1</f>
        <v>0.096</v>
      </c>
      <c r="AB101" s="38"/>
      <c r="AC101" s="38">
        <f>IF((T101)&gt;=12,3200,IF((T101)&gt;=9,2500,IF((T101)&gt;=6,1800,1200)))</f>
        <v>3200</v>
      </c>
      <c r="AD101" s="38">
        <f>ROUND(MIN(AC101,N101),0)</f>
        <v>2003</v>
      </c>
      <c r="AE101" s="38">
        <f>AA101*AD101</f>
        <v>192.288</v>
      </c>
      <c r="AF101" s="38">
        <f t="shared" si="64"/>
        <v>150</v>
      </c>
      <c r="AG101" s="38">
        <f>ROUND((AF101*$AM$1),0)</f>
        <v>150</v>
      </c>
      <c r="AH101" s="82">
        <v>45444</v>
      </c>
      <c r="AI101" s="82">
        <v>45566</v>
      </c>
      <c r="AJ101" s="83"/>
    </row>
    <row r="102" s="45" customFormat="1" ht="24" customHeight="1" spans="1:36">
      <c r="A102" s="38">
        <v>2</v>
      </c>
      <c r="B102" s="38" t="s">
        <v>291</v>
      </c>
      <c r="C102" s="38" t="s">
        <v>292</v>
      </c>
      <c r="D102" s="38" t="s">
        <v>70</v>
      </c>
      <c r="E102" s="69"/>
      <c r="F102" s="69">
        <v>1</v>
      </c>
      <c r="G102" s="69"/>
      <c r="H102" s="69"/>
      <c r="I102" s="69"/>
      <c r="J102" s="69"/>
      <c r="K102" s="69"/>
      <c r="L102" s="38"/>
      <c r="M102" s="73" t="s">
        <v>293</v>
      </c>
      <c r="N102" s="69"/>
      <c r="O102" s="69"/>
      <c r="P102" s="38">
        <v>200</v>
      </c>
      <c r="Q102" s="69"/>
      <c r="R102" s="69"/>
      <c r="S102" s="69"/>
      <c r="T102" s="69"/>
      <c r="U102" s="69"/>
      <c r="V102" s="38">
        <v>200</v>
      </c>
      <c r="W102" s="38">
        <v>150</v>
      </c>
      <c r="X102" s="38"/>
      <c r="Y102" s="38">
        <v>50</v>
      </c>
      <c r="Z102" s="38"/>
      <c r="AA102" s="69"/>
      <c r="AB102" s="69"/>
      <c r="AC102" s="69"/>
      <c r="AD102" s="69"/>
      <c r="AE102" s="38">
        <f>INT(IF(V102&lt;[1]参数!$F$9,V102*[1]参数!$F$10,[1]参数!$F$9*[1]参数!$F$10+(V102-[1]参数!$F$9)*[1]参数!$G$10))</f>
        <v>170</v>
      </c>
      <c r="AF102" s="38">
        <f t="shared" si="64"/>
        <v>150</v>
      </c>
      <c r="AG102" s="38">
        <f>ROUND((AF102*$AM$1),0)</f>
        <v>150</v>
      </c>
      <c r="AH102" s="82">
        <v>45352</v>
      </c>
      <c r="AI102" s="82">
        <v>45566</v>
      </c>
      <c r="AJ102" s="83" t="s">
        <v>294</v>
      </c>
    </row>
    <row r="103" s="53" customFormat="1" ht="24" customHeight="1" spans="1:36">
      <c r="A103" s="38">
        <v>3</v>
      </c>
      <c r="B103" s="38"/>
      <c r="C103" s="38" t="s">
        <v>295</v>
      </c>
      <c r="D103" s="38" t="s">
        <v>26</v>
      </c>
      <c r="E103" s="38"/>
      <c r="F103" s="38"/>
      <c r="G103" s="38"/>
      <c r="H103" s="38">
        <v>1</v>
      </c>
      <c r="I103" s="38"/>
      <c r="J103" s="38"/>
      <c r="K103" s="38">
        <v>6300</v>
      </c>
      <c r="L103" s="38"/>
      <c r="M103" s="73" t="s">
        <v>296</v>
      </c>
      <c r="N103" s="38">
        <v>5004</v>
      </c>
      <c r="O103" s="38">
        <v>0</v>
      </c>
      <c r="P103" s="38">
        <v>600</v>
      </c>
      <c r="Q103" s="38">
        <v>0</v>
      </c>
      <c r="R103" s="38">
        <v>15</v>
      </c>
      <c r="S103" s="38">
        <v>450</v>
      </c>
      <c r="T103" s="38"/>
      <c r="U103" s="38"/>
      <c r="V103" s="38">
        <v>600</v>
      </c>
      <c r="W103" s="38">
        <v>450</v>
      </c>
      <c r="X103" s="38">
        <v>0</v>
      </c>
      <c r="Y103" s="38">
        <v>150</v>
      </c>
      <c r="Z103" s="38">
        <v>0</v>
      </c>
      <c r="AA103" s="38">
        <f>[1]参数!$B$1</f>
        <v>0.28</v>
      </c>
      <c r="AB103" s="38">
        <f>[1]参数!$B$4</f>
        <v>0.4</v>
      </c>
      <c r="AC103" s="38">
        <f>IF(R103&gt;=12,3200,IF(R103&gt;=9,2500,IF(R103&gt;=6,1800,1200)))</f>
        <v>3200</v>
      </c>
      <c r="AD103" s="38">
        <f>ROUND(MIN(N103,AC103),0)</f>
        <v>3200</v>
      </c>
      <c r="AE103" s="38">
        <f>AA103*AB103*AD103</f>
        <v>358.4</v>
      </c>
      <c r="AF103" s="38">
        <f>ROUND(MIN(W103,AE103),0)</f>
        <v>358</v>
      </c>
      <c r="AG103" s="38">
        <f>ROUND((AF103*$AM$1),0)</f>
        <v>358</v>
      </c>
      <c r="AH103" s="82" t="s">
        <v>251</v>
      </c>
      <c r="AI103" s="82" t="s">
        <v>133</v>
      </c>
      <c r="AJ103" s="85" t="s">
        <v>297</v>
      </c>
    </row>
    <row r="104" s="47" customFormat="1" ht="24" customHeight="1" spans="1:36">
      <c r="A104" s="68" t="s">
        <v>66</v>
      </c>
      <c r="B104" s="68" t="s">
        <v>298</v>
      </c>
      <c r="C104" s="68">
        <v>2</v>
      </c>
      <c r="D104" s="38"/>
      <c r="E104" s="68">
        <f t="shared" ref="E104:Z104" si="66">SUM(E105:E106)</f>
        <v>1</v>
      </c>
      <c r="F104" s="68">
        <f t="shared" si="66"/>
        <v>0</v>
      </c>
      <c r="G104" s="68">
        <f t="shared" si="66"/>
        <v>0</v>
      </c>
      <c r="H104" s="68">
        <f t="shared" si="66"/>
        <v>1</v>
      </c>
      <c r="I104" s="68">
        <f t="shared" si="66"/>
        <v>0</v>
      </c>
      <c r="J104" s="68">
        <f t="shared" si="66"/>
        <v>0</v>
      </c>
      <c r="K104" s="68">
        <f t="shared" si="66"/>
        <v>11500</v>
      </c>
      <c r="L104" s="68">
        <f t="shared" si="66"/>
        <v>0</v>
      </c>
      <c r="M104" s="72">
        <f t="shared" si="66"/>
        <v>0</v>
      </c>
      <c r="N104" s="68">
        <f t="shared" si="66"/>
        <v>6938</v>
      </c>
      <c r="O104" s="68">
        <f t="shared" si="66"/>
        <v>510</v>
      </c>
      <c r="P104" s="68">
        <f t="shared" si="66"/>
        <v>170</v>
      </c>
      <c r="Q104" s="68">
        <f t="shared" si="66"/>
        <v>6938</v>
      </c>
      <c r="R104" s="68">
        <f t="shared" si="66"/>
        <v>24</v>
      </c>
      <c r="S104" s="68">
        <f t="shared" si="66"/>
        <v>360</v>
      </c>
      <c r="T104" s="68">
        <f t="shared" si="66"/>
        <v>12</v>
      </c>
      <c r="U104" s="68">
        <f t="shared" si="66"/>
        <v>360</v>
      </c>
      <c r="V104" s="68">
        <f t="shared" si="66"/>
        <v>680</v>
      </c>
      <c r="W104" s="68">
        <f t="shared" si="66"/>
        <v>400</v>
      </c>
      <c r="X104" s="68">
        <f t="shared" si="66"/>
        <v>0</v>
      </c>
      <c r="Y104" s="68">
        <f t="shared" si="66"/>
        <v>280</v>
      </c>
      <c r="Z104" s="68">
        <f t="shared" si="66"/>
        <v>0</v>
      </c>
      <c r="AA104" s="68"/>
      <c r="AB104" s="68"/>
      <c r="AC104" s="68"/>
      <c r="AD104" s="68"/>
      <c r="AE104" s="68"/>
      <c r="AF104" s="68">
        <f>SUM(AF105:AF106)</f>
        <v>400</v>
      </c>
      <c r="AG104" s="68">
        <f>SUM(AG105:AG106)</f>
        <v>400</v>
      </c>
      <c r="AH104" s="95"/>
      <c r="AI104" s="95"/>
      <c r="AJ104" s="88"/>
    </row>
    <row r="105" s="47" customFormat="1" ht="37" customHeight="1" spans="1:36">
      <c r="A105" s="38">
        <v>1</v>
      </c>
      <c r="B105" s="38" t="s">
        <v>299</v>
      </c>
      <c r="C105" s="38" t="s">
        <v>300</v>
      </c>
      <c r="D105" s="38" t="s">
        <v>87</v>
      </c>
      <c r="E105" s="38">
        <v>1</v>
      </c>
      <c r="F105" s="38"/>
      <c r="G105" s="38"/>
      <c r="H105" s="38"/>
      <c r="I105" s="38"/>
      <c r="J105" s="38"/>
      <c r="K105" s="38">
        <v>6000</v>
      </c>
      <c r="L105" s="38"/>
      <c r="M105" s="73" t="s">
        <v>301</v>
      </c>
      <c r="N105" s="38">
        <v>3337</v>
      </c>
      <c r="O105" s="38">
        <v>160</v>
      </c>
      <c r="P105" s="38">
        <v>20</v>
      </c>
      <c r="Q105" s="38">
        <v>3337</v>
      </c>
      <c r="R105" s="38">
        <v>12</v>
      </c>
      <c r="S105" s="38"/>
      <c r="T105" s="38">
        <v>12</v>
      </c>
      <c r="U105" s="38">
        <v>360</v>
      </c>
      <c r="V105" s="38">
        <v>180</v>
      </c>
      <c r="W105" s="38">
        <v>100</v>
      </c>
      <c r="X105" s="38">
        <v>0</v>
      </c>
      <c r="Y105" s="38">
        <v>80</v>
      </c>
      <c r="Z105" s="38">
        <v>0</v>
      </c>
      <c r="AA105" s="38">
        <f>[1]参数!$D$1</f>
        <v>0.096</v>
      </c>
      <c r="AB105" s="38"/>
      <c r="AC105" s="38">
        <f t="shared" ref="AC105:AC109" si="67">IF((T105)&gt;=12,3200,IF((T105)&gt;=9,2500,IF((T105)&gt;=6,1800,1200)))</f>
        <v>3200</v>
      </c>
      <c r="AD105" s="38">
        <f t="shared" ref="AD105:AD109" si="68">ROUND(MIN(AC105,N105),0)</f>
        <v>3200</v>
      </c>
      <c r="AE105" s="38">
        <f t="shared" ref="AE105:AE109" si="69">AA105*AD105</f>
        <v>307.2</v>
      </c>
      <c r="AF105" s="38">
        <f t="shared" ref="AF105:AF109" si="70">ROUND(MIN(AE105,W105),0)</f>
        <v>100</v>
      </c>
      <c r="AG105" s="38">
        <f>ROUND((AF105*$AM$1),0)</f>
        <v>100</v>
      </c>
      <c r="AH105" s="82">
        <v>45474</v>
      </c>
      <c r="AI105" s="82">
        <v>45627</v>
      </c>
      <c r="AJ105" s="83" t="s">
        <v>224</v>
      </c>
    </row>
    <row r="106" s="53" customFormat="1" ht="34" customHeight="1" spans="1:36">
      <c r="A106" s="38">
        <v>2</v>
      </c>
      <c r="B106" s="38" t="s">
        <v>302</v>
      </c>
      <c r="C106" s="38" t="s">
        <v>303</v>
      </c>
      <c r="D106" s="38" t="s">
        <v>26</v>
      </c>
      <c r="E106" s="38"/>
      <c r="F106" s="38"/>
      <c r="G106" s="38"/>
      <c r="H106" s="38">
        <v>1</v>
      </c>
      <c r="I106" s="38"/>
      <c r="J106" s="38"/>
      <c r="K106" s="38">
        <v>5500</v>
      </c>
      <c r="L106" s="38" t="s">
        <v>304</v>
      </c>
      <c r="M106" s="73" t="s">
        <v>305</v>
      </c>
      <c r="N106" s="38">
        <v>3601</v>
      </c>
      <c r="O106" s="38">
        <v>350</v>
      </c>
      <c r="P106" s="38">
        <v>150</v>
      </c>
      <c r="Q106" s="38">
        <v>3601</v>
      </c>
      <c r="R106" s="38">
        <v>12</v>
      </c>
      <c r="S106" s="38">
        <v>360</v>
      </c>
      <c r="T106" s="38"/>
      <c r="U106" s="38"/>
      <c r="V106" s="38">
        <v>500</v>
      </c>
      <c r="W106" s="38">
        <v>300</v>
      </c>
      <c r="X106" s="38">
        <v>0</v>
      </c>
      <c r="Y106" s="38">
        <v>200</v>
      </c>
      <c r="Z106" s="38">
        <v>0</v>
      </c>
      <c r="AA106" s="38">
        <f>[1]参数!$B$1</f>
        <v>0.28</v>
      </c>
      <c r="AB106" s="38">
        <f>[1]参数!$B$4</f>
        <v>0.4</v>
      </c>
      <c r="AC106" s="38">
        <f>IF(R106&gt;=12,3200,IF(R106&gt;=9,2500,IF(R106&gt;=6,1800,1200)))</f>
        <v>3200</v>
      </c>
      <c r="AD106" s="38">
        <f>ROUND(MIN(N106,AC106),0)</f>
        <v>3200</v>
      </c>
      <c r="AE106" s="38">
        <f>AA106*AB106*AD106</f>
        <v>358.4</v>
      </c>
      <c r="AF106" s="38">
        <f>ROUND(MIN(W106,AE106),0)</f>
        <v>300</v>
      </c>
      <c r="AG106" s="38">
        <f>ROUND((AF106*$AM$1),0)</f>
        <v>300</v>
      </c>
      <c r="AH106" s="86" t="s">
        <v>258</v>
      </c>
      <c r="AI106" s="86" t="s">
        <v>306</v>
      </c>
      <c r="AJ106" s="85" t="s">
        <v>58</v>
      </c>
    </row>
    <row r="107" s="47" customFormat="1" ht="24" customHeight="1" spans="1:36">
      <c r="A107" s="68" t="s">
        <v>83</v>
      </c>
      <c r="B107" s="68" t="s">
        <v>307</v>
      </c>
      <c r="C107" s="68">
        <v>2</v>
      </c>
      <c r="D107" s="68"/>
      <c r="E107" s="68">
        <f t="shared" ref="E107:Z107" si="71">SUM(E108:E109)</f>
        <v>2</v>
      </c>
      <c r="F107" s="68">
        <f t="shared" si="71"/>
        <v>0</v>
      </c>
      <c r="G107" s="68">
        <f t="shared" si="71"/>
        <v>0</v>
      </c>
      <c r="H107" s="68">
        <f t="shared" si="71"/>
        <v>0</v>
      </c>
      <c r="I107" s="68">
        <f t="shared" si="71"/>
        <v>0</v>
      </c>
      <c r="J107" s="68">
        <f t="shared" si="71"/>
        <v>0</v>
      </c>
      <c r="K107" s="68">
        <f t="shared" si="71"/>
        <v>10469.1</v>
      </c>
      <c r="L107" s="68">
        <f t="shared" si="71"/>
        <v>0</v>
      </c>
      <c r="M107" s="72">
        <f t="shared" si="71"/>
        <v>0</v>
      </c>
      <c r="N107" s="68">
        <f t="shared" si="71"/>
        <v>8480</v>
      </c>
      <c r="O107" s="68">
        <f t="shared" si="71"/>
        <v>200</v>
      </c>
      <c r="P107" s="68">
        <f t="shared" si="71"/>
        <v>0</v>
      </c>
      <c r="Q107" s="68">
        <f t="shared" si="71"/>
        <v>8480</v>
      </c>
      <c r="R107" s="68">
        <f t="shared" si="71"/>
        <v>24</v>
      </c>
      <c r="S107" s="68">
        <f t="shared" si="71"/>
        <v>0</v>
      </c>
      <c r="T107" s="68">
        <f t="shared" si="71"/>
        <v>24</v>
      </c>
      <c r="U107" s="68">
        <f t="shared" si="71"/>
        <v>960</v>
      </c>
      <c r="V107" s="68">
        <f t="shared" si="71"/>
        <v>200</v>
      </c>
      <c r="W107" s="68">
        <f t="shared" si="71"/>
        <v>140</v>
      </c>
      <c r="X107" s="68">
        <f t="shared" si="71"/>
        <v>0</v>
      </c>
      <c r="Y107" s="68">
        <f t="shared" si="71"/>
        <v>0</v>
      </c>
      <c r="Z107" s="68">
        <f t="shared" si="71"/>
        <v>60</v>
      </c>
      <c r="AA107" s="68"/>
      <c r="AB107" s="68"/>
      <c r="AC107" s="68"/>
      <c r="AD107" s="68"/>
      <c r="AE107" s="68"/>
      <c r="AF107" s="68">
        <f>SUM(AF108:AF109)</f>
        <v>140</v>
      </c>
      <c r="AG107" s="68">
        <f>SUM(AG108:AG109)</f>
        <v>140</v>
      </c>
      <c r="AH107" s="81"/>
      <c r="AI107" s="81"/>
      <c r="AJ107" s="88"/>
    </row>
    <row r="108" s="47" customFormat="1" ht="24" customHeight="1" spans="1:36">
      <c r="A108" s="38">
        <v>1</v>
      </c>
      <c r="B108" s="38" t="s">
        <v>308</v>
      </c>
      <c r="C108" s="38" t="s">
        <v>309</v>
      </c>
      <c r="D108" s="38" t="s">
        <v>87</v>
      </c>
      <c r="E108" s="38">
        <v>1</v>
      </c>
      <c r="F108" s="38"/>
      <c r="G108" s="38"/>
      <c r="H108" s="38"/>
      <c r="I108" s="38"/>
      <c r="J108" s="38"/>
      <c r="K108" s="38">
        <v>5765</v>
      </c>
      <c r="L108" s="38"/>
      <c r="M108" s="73" t="s">
        <v>310</v>
      </c>
      <c r="N108" s="38">
        <v>3887</v>
      </c>
      <c r="O108" s="38">
        <v>100</v>
      </c>
      <c r="P108" s="38">
        <v>0</v>
      </c>
      <c r="Q108" s="38">
        <v>3887</v>
      </c>
      <c r="R108" s="38">
        <v>12</v>
      </c>
      <c r="S108" s="38"/>
      <c r="T108" s="38">
        <v>12</v>
      </c>
      <c r="U108" s="38">
        <v>480</v>
      </c>
      <c r="V108" s="38">
        <v>100</v>
      </c>
      <c r="W108" s="38">
        <v>70</v>
      </c>
      <c r="X108" s="38">
        <v>0</v>
      </c>
      <c r="Y108" s="38">
        <v>0</v>
      </c>
      <c r="Z108" s="38">
        <v>30</v>
      </c>
      <c r="AA108" s="38">
        <f>[1]参数!$D$1</f>
        <v>0.096</v>
      </c>
      <c r="AB108" s="38"/>
      <c r="AC108" s="38">
        <f t="shared" si="67"/>
        <v>3200</v>
      </c>
      <c r="AD108" s="38">
        <f t="shared" si="68"/>
        <v>3200</v>
      </c>
      <c r="AE108" s="38">
        <f t="shared" si="69"/>
        <v>307.2</v>
      </c>
      <c r="AF108" s="38">
        <f t="shared" si="70"/>
        <v>70</v>
      </c>
      <c r="AG108" s="38">
        <f>ROUND((AF108*$AM$1),0)</f>
        <v>70</v>
      </c>
      <c r="AH108" s="82">
        <v>45474</v>
      </c>
      <c r="AI108" s="82">
        <v>45536</v>
      </c>
      <c r="AJ108" s="83" t="s">
        <v>311</v>
      </c>
    </row>
    <row r="109" s="47" customFormat="1" ht="24" customHeight="1" spans="1:36">
      <c r="A109" s="38">
        <v>2</v>
      </c>
      <c r="B109" s="38" t="s">
        <v>312</v>
      </c>
      <c r="C109" s="38" t="s">
        <v>313</v>
      </c>
      <c r="D109" s="38" t="s">
        <v>87</v>
      </c>
      <c r="E109" s="38">
        <v>1</v>
      </c>
      <c r="F109" s="38"/>
      <c r="G109" s="38"/>
      <c r="H109" s="38"/>
      <c r="I109" s="38"/>
      <c r="J109" s="38"/>
      <c r="K109" s="38">
        <v>4704.1</v>
      </c>
      <c r="L109" s="38"/>
      <c r="M109" s="73" t="s">
        <v>310</v>
      </c>
      <c r="N109" s="38">
        <v>4593</v>
      </c>
      <c r="O109" s="38">
        <v>100</v>
      </c>
      <c r="P109" s="38">
        <v>0</v>
      </c>
      <c r="Q109" s="38">
        <v>4593</v>
      </c>
      <c r="R109" s="38">
        <v>12</v>
      </c>
      <c r="S109" s="38"/>
      <c r="T109" s="38">
        <v>12</v>
      </c>
      <c r="U109" s="38">
        <v>480</v>
      </c>
      <c r="V109" s="38">
        <v>100</v>
      </c>
      <c r="W109" s="38">
        <v>70</v>
      </c>
      <c r="X109" s="38">
        <v>0</v>
      </c>
      <c r="Y109" s="38">
        <v>0</v>
      </c>
      <c r="Z109" s="38">
        <v>30</v>
      </c>
      <c r="AA109" s="38">
        <f>[1]参数!$D$1</f>
        <v>0.096</v>
      </c>
      <c r="AB109" s="38"/>
      <c r="AC109" s="38">
        <f t="shared" si="67"/>
        <v>3200</v>
      </c>
      <c r="AD109" s="38">
        <f t="shared" si="68"/>
        <v>3200</v>
      </c>
      <c r="AE109" s="38">
        <f t="shared" si="69"/>
        <v>307.2</v>
      </c>
      <c r="AF109" s="38">
        <f t="shared" si="70"/>
        <v>70</v>
      </c>
      <c r="AG109" s="38">
        <f>ROUND((AF109*$AM$1),0)</f>
        <v>70</v>
      </c>
      <c r="AH109" s="82">
        <v>45474</v>
      </c>
      <c r="AI109" s="82">
        <v>45566</v>
      </c>
      <c r="AJ109" s="83" t="s">
        <v>314</v>
      </c>
    </row>
    <row r="110" s="53" customFormat="1" ht="24" customHeight="1" spans="1:36">
      <c r="A110" s="68" t="s">
        <v>93</v>
      </c>
      <c r="B110" s="68" t="s">
        <v>315</v>
      </c>
      <c r="C110" s="38">
        <v>1</v>
      </c>
      <c r="D110" s="38"/>
      <c r="E110" s="68">
        <f t="shared" ref="E110:Z110" si="72">SUM(E111)</f>
        <v>0</v>
      </c>
      <c r="F110" s="68">
        <f t="shared" si="72"/>
        <v>0</v>
      </c>
      <c r="G110" s="68">
        <f t="shared" si="72"/>
        <v>0</v>
      </c>
      <c r="H110" s="68">
        <f t="shared" si="72"/>
        <v>1</v>
      </c>
      <c r="I110" s="68">
        <f t="shared" si="72"/>
        <v>0</v>
      </c>
      <c r="J110" s="68">
        <f t="shared" si="72"/>
        <v>0</v>
      </c>
      <c r="K110" s="68">
        <f t="shared" si="72"/>
        <v>4050</v>
      </c>
      <c r="L110" s="68">
        <f t="shared" si="72"/>
        <v>0</v>
      </c>
      <c r="M110" s="72">
        <f t="shared" si="72"/>
        <v>0</v>
      </c>
      <c r="N110" s="68">
        <f t="shared" si="72"/>
        <v>3500</v>
      </c>
      <c r="O110" s="68">
        <f t="shared" si="72"/>
        <v>510</v>
      </c>
      <c r="P110" s="68">
        <f t="shared" si="72"/>
        <v>300</v>
      </c>
      <c r="Q110" s="68">
        <f t="shared" si="72"/>
        <v>3500</v>
      </c>
      <c r="R110" s="68">
        <f t="shared" si="72"/>
        <v>9</v>
      </c>
      <c r="S110" s="68">
        <f t="shared" si="72"/>
        <v>270</v>
      </c>
      <c r="T110" s="68">
        <f t="shared" si="72"/>
        <v>0</v>
      </c>
      <c r="U110" s="68">
        <f t="shared" si="72"/>
        <v>0</v>
      </c>
      <c r="V110" s="68">
        <f t="shared" si="72"/>
        <v>810</v>
      </c>
      <c r="W110" s="68">
        <f t="shared" si="72"/>
        <v>610</v>
      </c>
      <c r="X110" s="68">
        <f t="shared" si="72"/>
        <v>0</v>
      </c>
      <c r="Y110" s="68">
        <f t="shared" si="72"/>
        <v>0</v>
      </c>
      <c r="Z110" s="68">
        <f t="shared" si="72"/>
        <v>200</v>
      </c>
      <c r="AA110" s="68"/>
      <c r="AB110" s="68"/>
      <c r="AC110" s="68"/>
      <c r="AD110" s="68"/>
      <c r="AE110" s="68"/>
      <c r="AF110" s="68">
        <f>SUM(AF111)</f>
        <v>280</v>
      </c>
      <c r="AG110" s="68">
        <f>SUM(AG111)</f>
        <v>280</v>
      </c>
      <c r="AH110" s="81"/>
      <c r="AI110" s="95"/>
      <c r="AJ110" s="85"/>
    </row>
    <row r="111" s="53" customFormat="1" ht="24" customHeight="1" spans="1:36">
      <c r="A111" s="38">
        <v>1</v>
      </c>
      <c r="B111" s="38" t="s">
        <v>316</v>
      </c>
      <c r="C111" s="38" t="s">
        <v>317</v>
      </c>
      <c r="D111" s="38" t="s">
        <v>26</v>
      </c>
      <c r="E111" s="38"/>
      <c r="F111" s="38"/>
      <c r="G111" s="38"/>
      <c r="H111" s="38">
        <v>1</v>
      </c>
      <c r="I111" s="38"/>
      <c r="J111" s="38"/>
      <c r="K111" s="38">
        <v>4050</v>
      </c>
      <c r="L111" s="38" t="s">
        <v>318</v>
      </c>
      <c r="M111" s="73" t="s">
        <v>319</v>
      </c>
      <c r="N111" s="38">
        <v>3500</v>
      </c>
      <c r="O111" s="38">
        <v>510</v>
      </c>
      <c r="P111" s="38">
        <v>300</v>
      </c>
      <c r="Q111" s="38">
        <v>3500</v>
      </c>
      <c r="R111" s="38">
        <v>9</v>
      </c>
      <c r="S111" s="38">
        <v>270</v>
      </c>
      <c r="T111" s="38"/>
      <c r="U111" s="38"/>
      <c r="V111" s="38">
        <v>810</v>
      </c>
      <c r="W111" s="38">
        <v>610</v>
      </c>
      <c r="X111" s="38">
        <v>0</v>
      </c>
      <c r="Y111" s="38">
        <v>0</v>
      </c>
      <c r="Z111" s="38">
        <v>200</v>
      </c>
      <c r="AA111" s="38">
        <f>[1]参数!$B$1</f>
        <v>0.28</v>
      </c>
      <c r="AB111" s="38">
        <f>[1]参数!$B$4</f>
        <v>0.4</v>
      </c>
      <c r="AC111" s="38">
        <f>IF(R111&gt;=12,3200,IF(R111&gt;=9,2500,IF(R111&gt;=6,1800,1200)))</f>
        <v>2500</v>
      </c>
      <c r="AD111" s="38">
        <f>ROUND(MIN(N111,AC111),0)</f>
        <v>2500</v>
      </c>
      <c r="AE111" s="38">
        <f>AA111*AB111*AD111</f>
        <v>280</v>
      </c>
      <c r="AF111" s="38">
        <f>ROUND(MIN(W111,AE111),0)</f>
        <v>280</v>
      </c>
      <c r="AG111" s="38">
        <f>ROUND((AF111*$AM$1),0)</f>
        <v>280</v>
      </c>
      <c r="AH111" s="82">
        <v>45078</v>
      </c>
      <c r="AI111" s="82">
        <v>45505</v>
      </c>
      <c r="AJ111" s="85" t="s">
        <v>320</v>
      </c>
    </row>
    <row r="112" s="45" customFormat="1" ht="24" customHeight="1" spans="1:36">
      <c r="A112" s="68" t="s">
        <v>109</v>
      </c>
      <c r="B112" s="68" t="s">
        <v>321</v>
      </c>
      <c r="C112" s="68">
        <v>2</v>
      </c>
      <c r="D112" s="69"/>
      <c r="E112" s="68">
        <f t="shared" ref="E112:Z112" si="73">SUM(E113:E114)</f>
        <v>1</v>
      </c>
      <c r="F112" s="68">
        <f t="shared" si="73"/>
        <v>1</v>
      </c>
      <c r="G112" s="68">
        <f t="shared" si="73"/>
        <v>0</v>
      </c>
      <c r="H112" s="68">
        <f t="shared" si="73"/>
        <v>0</v>
      </c>
      <c r="I112" s="68">
        <f t="shared" si="73"/>
        <v>0</v>
      </c>
      <c r="J112" s="68">
        <f t="shared" si="73"/>
        <v>0</v>
      </c>
      <c r="K112" s="68">
        <f t="shared" si="73"/>
        <v>6666</v>
      </c>
      <c r="L112" s="68">
        <f t="shared" si="73"/>
        <v>0</v>
      </c>
      <c r="M112" s="72">
        <f t="shared" si="73"/>
        <v>0</v>
      </c>
      <c r="N112" s="68">
        <f t="shared" si="73"/>
        <v>2987</v>
      </c>
      <c r="O112" s="68">
        <f t="shared" si="73"/>
        <v>150</v>
      </c>
      <c r="P112" s="68">
        <f t="shared" si="73"/>
        <v>120</v>
      </c>
      <c r="Q112" s="68">
        <f t="shared" si="73"/>
        <v>2987</v>
      </c>
      <c r="R112" s="68">
        <f t="shared" si="73"/>
        <v>12</v>
      </c>
      <c r="S112" s="68">
        <f t="shared" si="73"/>
        <v>0</v>
      </c>
      <c r="T112" s="68">
        <f t="shared" si="73"/>
        <v>12</v>
      </c>
      <c r="U112" s="68">
        <f t="shared" si="73"/>
        <v>360</v>
      </c>
      <c r="V112" s="68">
        <f t="shared" si="73"/>
        <v>270</v>
      </c>
      <c r="W112" s="68">
        <f t="shared" si="73"/>
        <v>180</v>
      </c>
      <c r="X112" s="68">
        <f t="shared" si="73"/>
        <v>0</v>
      </c>
      <c r="Y112" s="68">
        <f t="shared" si="73"/>
        <v>90</v>
      </c>
      <c r="Z112" s="68">
        <f t="shared" si="73"/>
        <v>0</v>
      </c>
      <c r="AA112" s="68"/>
      <c r="AB112" s="68"/>
      <c r="AC112" s="68"/>
      <c r="AD112" s="68"/>
      <c r="AE112" s="68"/>
      <c r="AF112" s="68">
        <f>SUM(AF113:AF114)</f>
        <v>180</v>
      </c>
      <c r="AG112" s="68">
        <f>SUM(AG113:AG114)</f>
        <v>180</v>
      </c>
      <c r="AH112" s="81"/>
      <c r="AI112" s="81"/>
      <c r="AJ112" s="84"/>
    </row>
    <row r="113" s="47" customFormat="1" ht="24" customHeight="1" spans="1:36">
      <c r="A113" s="38">
        <v>1</v>
      </c>
      <c r="B113" s="38" t="s">
        <v>322</v>
      </c>
      <c r="C113" s="38" t="s">
        <v>323</v>
      </c>
      <c r="D113" s="38" t="s">
        <v>87</v>
      </c>
      <c r="E113" s="38">
        <v>1</v>
      </c>
      <c r="F113" s="38"/>
      <c r="G113" s="38"/>
      <c r="H113" s="38"/>
      <c r="I113" s="38"/>
      <c r="J113" s="38"/>
      <c r="K113" s="38">
        <v>6666</v>
      </c>
      <c r="L113" s="38"/>
      <c r="M113" s="73" t="s">
        <v>324</v>
      </c>
      <c r="N113" s="38">
        <v>2987</v>
      </c>
      <c r="O113" s="38">
        <v>150</v>
      </c>
      <c r="P113" s="38">
        <v>0</v>
      </c>
      <c r="Q113" s="38">
        <v>2987</v>
      </c>
      <c r="R113" s="38">
        <v>12</v>
      </c>
      <c r="S113" s="38"/>
      <c r="T113" s="38">
        <v>12</v>
      </c>
      <c r="U113" s="38">
        <v>360</v>
      </c>
      <c r="V113" s="38">
        <v>150</v>
      </c>
      <c r="W113" s="38">
        <v>100</v>
      </c>
      <c r="X113" s="38">
        <v>0</v>
      </c>
      <c r="Y113" s="38">
        <v>50</v>
      </c>
      <c r="Z113" s="38">
        <v>0</v>
      </c>
      <c r="AA113" s="38">
        <f>[1]参数!$D$1</f>
        <v>0.096</v>
      </c>
      <c r="AB113" s="38"/>
      <c r="AC113" s="38">
        <f>IF((T113)&gt;=12,3200,IF((T113)&gt;=9,2500,IF((T113)&gt;=6,1800,1200)))</f>
        <v>3200</v>
      </c>
      <c r="AD113" s="38">
        <f>ROUND(MIN(AC113,N113),0)</f>
        <v>2987</v>
      </c>
      <c r="AE113" s="38">
        <f>AA113*AD113</f>
        <v>286.752</v>
      </c>
      <c r="AF113" s="38">
        <f t="shared" ref="AF113:AF117" si="74">ROUND(MIN(AE113,W113),0)</f>
        <v>100</v>
      </c>
      <c r="AG113" s="38">
        <f>ROUND((AF113*$AM$1),0)</f>
        <v>100</v>
      </c>
      <c r="AH113" s="82">
        <v>45413</v>
      </c>
      <c r="AI113" s="82">
        <v>45505</v>
      </c>
      <c r="AJ113" s="83"/>
    </row>
    <row r="114" s="45" customFormat="1" ht="24" customHeight="1" spans="1:36">
      <c r="A114" s="38">
        <v>2</v>
      </c>
      <c r="B114" s="38" t="s">
        <v>325</v>
      </c>
      <c r="C114" s="38" t="s">
        <v>326</v>
      </c>
      <c r="D114" s="38" t="s">
        <v>70</v>
      </c>
      <c r="E114" s="69"/>
      <c r="F114" s="69">
        <v>1</v>
      </c>
      <c r="G114" s="69"/>
      <c r="H114" s="69"/>
      <c r="I114" s="69"/>
      <c r="J114" s="69"/>
      <c r="K114" s="69"/>
      <c r="L114" s="38"/>
      <c r="M114" s="73" t="s">
        <v>327</v>
      </c>
      <c r="N114" s="69"/>
      <c r="O114" s="69"/>
      <c r="P114" s="38">
        <v>120</v>
      </c>
      <c r="Q114" s="69"/>
      <c r="R114" s="69"/>
      <c r="S114" s="69"/>
      <c r="T114" s="69"/>
      <c r="U114" s="69"/>
      <c r="V114" s="38">
        <v>120</v>
      </c>
      <c r="W114" s="38">
        <v>80</v>
      </c>
      <c r="X114" s="38">
        <v>0</v>
      </c>
      <c r="Y114" s="38">
        <v>40</v>
      </c>
      <c r="Z114" s="38">
        <v>0</v>
      </c>
      <c r="AA114" s="69"/>
      <c r="AB114" s="69"/>
      <c r="AC114" s="69"/>
      <c r="AD114" s="69"/>
      <c r="AE114" s="38">
        <f>INT(IF(V114&lt;[1]参数!$F$9,V114*[1]参数!$F$10,[1]参数!$F$9*[1]参数!$F$10+(V114-[1]参数!$F$9)*[1]参数!$G$10))</f>
        <v>102</v>
      </c>
      <c r="AF114" s="38">
        <f t="shared" si="74"/>
        <v>80</v>
      </c>
      <c r="AG114" s="38">
        <f>ROUND((AF114*$AM$1),0)</f>
        <v>80</v>
      </c>
      <c r="AH114" s="82">
        <v>45413</v>
      </c>
      <c r="AI114" s="82">
        <v>45505</v>
      </c>
      <c r="AJ114" s="83"/>
    </row>
    <row r="115" s="45" customFormat="1" ht="24" customHeight="1" spans="1:36">
      <c r="A115" s="68" t="s">
        <v>118</v>
      </c>
      <c r="B115" s="68" t="s">
        <v>328</v>
      </c>
      <c r="C115" s="68">
        <v>2</v>
      </c>
      <c r="D115" s="69"/>
      <c r="E115" s="68">
        <f t="shared" ref="E115:Z115" si="75">SUM(E116:E117)</f>
        <v>1</v>
      </c>
      <c r="F115" s="68">
        <f t="shared" si="75"/>
        <v>1</v>
      </c>
      <c r="G115" s="68">
        <f t="shared" si="75"/>
        <v>0</v>
      </c>
      <c r="H115" s="68">
        <f t="shared" si="75"/>
        <v>0</v>
      </c>
      <c r="I115" s="68">
        <f t="shared" si="75"/>
        <v>0</v>
      </c>
      <c r="J115" s="68">
        <f t="shared" si="75"/>
        <v>0</v>
      </c>
      <c r="K115" s="68">
        <f t="shared" si="75"/>
        <v>2179</v>
      </c>
      <c r="L115" s="68">
        <f t="shared" si="75"/>
        <v>0</v>
      </c>
      <c r="M115" s="72">
        <f t="shared" si="75"/>
        <v>0</v>
      </c>
      <c r="N115" s="68">
        <f t="shared" si="75"/>
        <v>3017</v>
      </c>
      <c r="O115" s="68">
        <f t="shared" si="75"/>
        <v>80</v>
      </c>
      <c r="P115" s="68">
        <f t="shared" si="75"/>
        <v>101.5</v>
      </c>
      <c r="Q115" s="68">
        <f t="shared" si="75"/>
        <v>3017</v>
      </c>
      <c r="R115" s="68">
        <f t="shared" si="75"/>
        <v>12</v>
      </c>
      <c r="S115" s="68">
        <f t="shared" si="75"/>
        <v>0</v>
      </c>
      <c r="T115" s="68">
        <f t="shared" si="75"/>
        <v>12</v>
      </c>
      <c r="U115" s="68">
        <f t="shared" si="75"/>
        <v>360</v>
      </c>
      <c r="V115" s="68">
        <f t="shared" si="75"/>
        <v>181.5</v>
      </c>
      <c r="W115" s="68">
        <f t="shared" si="75"/>
        <v>120</v>
      </c>
      <c r="X115" s="68">
        <f t="shared" si="75"/>
        <v>0</v>
      </c>
      <c r="Y115" s="68">
        <f t="shared" si="75"/>
        <v>61.5</v>
      </c>
      <c r="Z115" s="68">
        <f t="shared" si="75"/>
        <v>0</v>
      </c>
      <c r="AA115" s="68"/>
      <c r="AB115" s="68"/>
      <c r="AC115" s="68"/>
      <c r="AD115" s="68"/>
      <c r="AE115" s="68"/>
      <c r="AF115" s="68">
        <f>SUM(AF116:AF117)</f>
        <v>120</v>
      </c>
      <c r="AG115" s="68">
        <f>SUM(AG116:AG117)</f>
        <v>120</v>
      </c>
      <c r="AH115" s="95"/>
      <c r="AI115" s="95"/>
      <c r="AJ115" s="83"/>
    </row>
    <row r="116" s="47" customFormat="1" ht="24" customHeight="1" spans="1:36">
      <c r="A116" s="38">
        <v>1</v>
      </c>
      <c r="B116" s="38" t="s">
        <v>329</v>
      </c>
      <c r="C116" s="38" t="s">
        <v>330</v>
      </c>
      <c r="D116" s="38" t="s">
        <v>87</v>
      </c>
      <c r="E116" s="38">
        <v>1</v>
      </c>
      <c r="F116" s="38"/>
      <c r="G116" s="38"/>
      <c r="H116" s="38"/>
      <c r="I116" s="38"/>
      <c r="J116" s="38"/>
      <c r="K116" s="38">
        <v>2179</v>
      </c>
      <c r="L116" s="38"/>
      <c r="M116" s="73" t="s">
        <v>331</v>
      </c>
      <c r="N116" s="38">
        <v>3017</v>
      </c>
      <c r="O116" s="38">
        <v>80</v>
      </c>
      <c r="P116" s="38">
        <v>29.2</v>
      </c>
      <c r="Q116" s="38">
        <v>3017</v>
      </c>
      <c r="R116" s="38">
        <v>12</v>
      </c>
      <c r="S116" s="38"/>
      <c r="T116" s="38">
        <v>12</v>
      </c>
      <c r="U116" s="38">
        <v>360</v>
      </c>
      <c r="V116" s="38">
        <v>109.2</v>
      </c>
      <c r="W116" s="38">
        <v>70</v>
      </c>
      <c r="X116" s="38">
        <v>0</v>
      </c>
      <c r="Y116" s="38">
        <v>39.2</v>
      </c>
      <c r="Z116" s="38">
        <v>0</v>
      </c>
      <c r="AA116" s="38">
        <f>[1]参数!$D$1</f>
        <v>0.096</v>
      </c>
      <c r="AB116" s="38"/>
      <c r="AC116" s="38">
        <f t="shared" ref="AC116:AC121" si="76">IF((T116)&gt;=12,3200,IF((T116)&gt;=9,2500,IF((T116)&gt;=6,1800,1200)))</f>
        <v>3200</v>
      </c>
      <c r="AD116" s="38">
        <f t="shared" ref="AD116:AD121" si="77">ROUND(MIN(AC116,N116),0)</f>
        <v>3017</v>
      </c>
      <c r="AE116" s="38">
        <f t="shared" ref="AE116:AE121" si="78">AA116*AD116</f>
        <v>289.632</v>
      </c>
      <c r="AF116" s="38">
        <f t="shared" si="74"/>
        <v>70</v>
      </c>
      <c r="AG116" s="38">
        <f>ROUND((AF116*$AM$1),0)</f>
        <v>70</v>
      </c>
      <c r="AH116" s="82">
        <v>45413</v>
      </c>
      <c r="AI116" s="82">
        <v>45627</v>
      </c>
      <c r="AJ116" s="83"/>
    </row>
    <row r="117" s="45" customFormat="1" ht="24" customHeight="1" spans="1:36">
      <c r="A117" s="38">
        <v>2</v>
      </c>
      <c r="B117" s="38" t="s">
        <v>332</v>
      </c>
      <c r="C117" s="38" t="s">
        <v>333</v>
      </c>
      <c r="D117" s="38" t="s">
        <v>70</v>
      </c>
      <c r="E117" s="69"/>
      <c r="F117" s="69">
        <v>1</v>
      </c>
      <c r="G117" s="69"/>
      <c r="H117" s="69"/>
      <c r="I117" s="69"/>
      <c r="J117" s="69"/>
      <c r="K117" s="69"/>
      <c r="L117" s="38"/>
      <c r="M117" s="73" t="s">
        <v>334</v>
      </c>
      <c r="N117" s="69"/>
      <c r="O117" s="69"/>
      <c r="P117" s="38">
        <v>72.3</v>
      </c>
      <c r="Q117" s="69"/>
      <c r="R117" s="69"/>
      <c r="S117" s="69"/>
      <c r="T117" s="69"/>
      <c r="U117" s="69"/>
      <c r="V117" s="38">
        <v>72.3</v>
      </c>
      <c r="W117" s="38">
        <v>50</v>
      </c>
      <c r="X117" s="38">
        <v>0</v>
      </c>
      <c r="Y117" s="38">
        <v>22.3</v>
      </c>
      <c r="Z117" s="38">
        <v>0</v>
      </c>
      <c r="AA117" s="69"/>
      <c r="AB117" s="69"/>
      <c r="AC117" s="69"/>
      <c r="AD117" s="69"/>
      <c r="AE117" s="38">
        <f>INT(IF(V117&lt;[1]参数!$F$9,V117*[1]参数!$F$10,[1]参数!$F$9*[1]参数!$F$10+(V117-[1]参数!$F$9)*[1]参数!$G$10))</f>
        <v>61</v>
      </c>
      <c r="AF117" s="38">
        <f t="shared" si="74"/>
        <v>50</v>
      </c>
      <c r="AG117" s="38">
        <f>ROUND((AF117*$AM$1),0)</f>
        <v>50</v>
      </c>
      <c r="AH117" s="82">
        <v>45383</v>
      </c>
      <c r="AI117" s="82">
        <v>45627</v>
      </c>
      <c r="AJ117" s="84"/>
    </row>
    <row r="118" s="47" customFormat="1" ht="24" customHeight="1" spans="1:36">
      <c r="A118" s="68" t="s">
        <v>123</v>
      </c>
      <c r="B118" s="68" t="s">
        <v>335</v>
      </c>
      <c r="C118" s="68">
        <v>1</v>
      </c>
      <c r="D118" s="68"/>
      <c r="E118" s="68">
        <f t="shared" ref="E118:Z118" si="79">SUM(E119)</f>
        <v>1</v>
      </c>
      <c r="F118" s="68">
        <f t="shared" si="79"/>
        <v>0</v>
      </c>
      <c r="G118" s="68">
        <f t="shared" si="79"/>
        <v>0</v>
      </c>
      <c r="H118" s="68">
        <f t="shared" si="79"/>
        <v>0</v>
      </c>
      <c r="I118" s="68">
        <f t="shared" si="79"/>
        <v>0</v>
      </c>
      <c r="J118" s="68">
        <f t="shared" si="79"/>
        <v>0</v>
      </c>
      <c r="K118" s="68">
        <f t="shared" si="79"/>
        <v>4475</v>
      </c>
      <c r="L118" s="68">
        <f t="shared" si="79"/>
        <v>0</v>
      </c>
      <c r="M118" s="72">
        <f t="shared" si="79"/>
        <v>0</v>
      </c>
      <c r="N118" s="68">
        <f t="shared" si="79"/>
        <v>4489</v>
      </c>
      <c r="O118" s="68">
        <f t="shared" si="79"/>
        <v>200</v>
      </c>
      <c r="P118" s="68">
        <f t="shared" si="79"/>
        <v>0</v>
      </c>
      <c r="Q118" s="68">
        <f t="shared" si="79"/>
        <v>4489</v>
      </c>
      <c r="R118" s="68">
        <f t="shared" si="79"/>
        <v>9</v>
      </c>
      <c r="S118" s="68">
        <f t="shared" si="79"/>
        <v>0</v>
      </c>
      <c r="T118" s="68">
        <f t="shared" si="79"/>
        <v>9</v>
      </c>
      <c r="U118" s="68">
        <f t="shared" si="79"/>
        <v>270</v>
      </c>
      <c r="V118" s="68">
        <f t="shared" si="79"/>
        <v>200</v>
      </c>
      <c r="W118" s="68">
        <f t="shared" si="79"/>
        <v>200</v>
      </c>
      <c r="X118" s="68">
        <f t="shared" si="79"/>
        <v>0</v>
      </c>
      <c r="Y118" s="68">
        <f t="shared" si="79"/>
        <v>0</v>
      </c>
      <c r="Z118" s="68">
        <f t="shared" si="79"/>
        <v>0</v>
      </c>
      <c r="AA118" s="68"/>
      <c r="AB118" s="68"/>
      <c r="AC118" s="68"/>
      <c r="AD118" s="68"/>
      <c r="AE118" s="68"/>
      <c r="AF118" s="68">
        <f>SUM(AF119)</f>
        <v>200</v>
      </c>
      <c r="AG118" s="68">
        <f>SUM(AG119)</f>
        <v>200</v>
      </c>
      <c r="AH118" s="81"/>
      <c r="AI118" s="95"/>
      <c r="AJ118" s="88"/>
    </row>
    <row r="119" s="47" customFormat="1" ht="24" customHeight="1" spans="1:36">
      <c r="A119" s="38">
        <v>1</v>
      </c>
      <c r="B119" s="38" t="s">
        <v>336</v>
      </c>
      <c r="C119" s="38" t="s">
        <v>337</v>
      </c>
      <c r="D119" s="38" t="s">
        <v>87</v>
      </c>
      <c r="E119" s="38">
        <v>1</v>
      </c>
      <c r="F119" s="38"/>
      <c r="G119" s="38"/>
      <c r="H119" s="38"/>
      <c r="I119" s="38"/>
      <c r="J119" s="38"/>
      <c r="K119" s="38">
        <v>4475</v>
      </c>
      <c r="L119" s="38"/>
      <c r="M119" s="73" t="s">
        <v>338</v>
      </c>
      <c r="N119" s="38">
        <v>4489</v>
      </c>
      <c r="O119" s="38">
        <v>200</v>
      </c>
      <c r="P119" s="38">
        <v>0</v>
      </c>
      <c r="Q119" s="38">
        <v>4489</v>
      </c>
      <c r="R119" s="38">
        <v>9</v>
      </c>
      <c r="S119" s="38"/>
      <c r="T119" s="38">
        <v>9</v>
      </c>
      <c r="U119" s="38">
        <v>270</v>
      </c>
      <c r="V119" s="38">
        <v>200</v>
      </c>
      <c r="W119" s="38">
        <v>200</v>
      </c>
      <c r="X119" s="38">
        <v>0</v>
      </c>
      <c r="Y119" s="38">
        <v>0</v>
      </c>
      <c r="Z119" s="38">
        <v>0</v>
      </c>
      <c r="AA119" s="38">
        <f>[1]参数!$D$1</f>
        <v>0.096</v>
      </c>
      <c r="AB119" s="38"/>
      <c r="AC119" s="38">
        <f t="shared" si="76"/>
        <v>2500</v>
      </c>
      <c r="AD119" s="38">
        <f t="shared" si="77"/>
        <v>2500</v>
      </c>
      <c r="AE119" s="38">
        <f t="shared" si="78"/>
        <v>240</v>
      </c>
      <c r="AF119" s="38">
        <f t="shared" ref="AF119:AF122" si="80">ROUND(MIN(AE119,W119),0)</f>
        <v>200</v>
      </c>
      <c r="AG119" s="38">
        <f>ROUND((AF119*$AM$1),0)</f>
        <v>200</v>
      </c>
      <c r="AH119" s="82">
        <v>45444</v>
      </c>
      <c r="AI119" s="82">
        <v>45536</v>
      </c>
      <c r="AJ119" s="88"/>
    </row>
    <row r="120" s="45" customFormat="1" ht="24" customHeight="1" spans="1:36">
      <c r="A120" s="68" t="s">
        <v>134</v>
      </c>
      <c r="B120" s="68" t="s">
        <v>339</v>
      </c>
      <c r="C120" s="68">
        <v>2</v>
      </c>
      <c r="D120" s="69"/>
      <c r="E120" s="68">
        <f t="shared" ref="E120:Z120" si="81">SUM(E121:E122)</f>
        <v>1</v>
      </c>
      <c r="F120" s="68">
        <f t="shared" si="81"/>
        <v>1</v>
      </c>
      <c r="G120" s="68">
        <f t="shared" si="81"/>
        <v>0</v>
      </c>
      <c r="H120" s="68">
        <f t="shared" si="81"/>
        <v>0</v>
      </c>
      <c r="I120" s="68">
        <f t="shared" si="81"/>
        <v>0</v>
      </c>
      <c r="J120" s="68">
        <f t="shared" si="81"/>
        <v>0</v>
      </c>
      <c r="K120" s="68">
        <f t="shared" si="81"/>
        <v>8844.8</v>
      </c>
      <c r="L120" s="68">
        <f t="shared" si="81"/>
        <v>0</v>
      </c>
      <c r="M120" s="72">
        <f t="shared" si="81"/>
        <v>0</v>
      </c>
      <c r="N120" s="68">
        <f t="shared" si="81"/>
        <v>10745</v>
      </c>
      <c r="O120" s="68">
        <f t="shared" si="81"/>
        <v>200</v>
      </c>
      <c r="P120" s="68">
        <f t="shared" si="81"/>
        <v>605</v>
      </c>
      <c r="Q120" s="68">
        <f t="shared" si="81"/>
        <v>10745</v>
      </c>
      <c r="R120" s="68">
        <f t="shared" si="81"/>
        <v>18</v>
      </c>
      <c r="S120" s="68">
        <f t="shared" si="81"/>
        <v>0</v>
      </c>
      <c r="T120" s="68">
        <f t="shared" si="81"/>
        <v>18</v>
      </c>
      <c r="U120" s="68">
        <f t="shared" si="81"/>
        <v>607</v>
      </c>
      <c r="V120" s="68">
        <f t="shared" si="81"/>
        <v>805</v>
      </c>
      <c r="W120" s="68">
        <f t="shared" si="81"/>
        <v>725</v>
      </c>
      <c r="X120" s="68">
        <f t="shared" si="81"/>
        <v>0</v>
      </c>
      <c r="Y120" s="68">
        <f t="shared" si="81"/>
        <v>0</v>
      </c>
      <c r="Z120" s="68">
        <f t="shared" si="81"/>
        <v>80</v>
      </c>
      <c r="AA120" s="68"/>
      <c r="AB120" s="68"/>
      <c r="AC120" s="68"/>
      <c r="AD120" s="68"/>
      <c r="AE120" s="68"/>
      <c r="AF120" s="68">
        <f>SUM(AF121:AF122)</f>
        <v>391</v>
      </c>
      <c r="AG120" s="68">
        <f>SUM(AG121:AG122)</f>
        <v>391</v>
      </c>
      <c r="AH120" s="81"/>
      <c r="AI120" s="81"/>
      <c r="AJ120" s="84"/>
    </row>
    <row r="121" s="50" customFormat="1" ht="24" customHeight="1" spans="1:36">
      <c r="A121" s="38">
        <v>1</v>
      </c>
      <c r="B121" s="38" t="s">
        <v>340</v>
      </c>
      <c r="C121" s="38" t="s">
        <v>341</v>
      </c>
      <c r="D121" s="38" t="s">
        <v>87</v>
      </c>
      <c r="E121" s="38">
        <v>1</v>
      </c>
      <c r="F121" s="38"/>
      <c r="G121" s="38"/>
      <c r="H121" s="38"/>
      <c r="I121" s="38"/>
      <c r="J121" s="38"/>
      <c r="K121" s="38">
        <v>8844.8</v>
      </c>
      <c r="L121" s="38"/>
      <c r="M121" s="73" t="s">
        <v>342</v>
      </c>
      <c r="N121" s="38">
        <v>10745</v>
      </c>
      <c r="O121" s="38">
        <v>200</v>
      </c>
      <c r="P121" s="38">
        <v>0</v>
      </c>
      <c r="Q121" s="38">
        <v>10745</v>
      </c>
      <c r="R121" s="38">
        <v>18</v>
      </c>
      <c r="S121" s="38"/>
      <c r="T121" s="38">
        <v>18</v>
      </c>
      <c r="U121" s="38">
        <v>607</v>
      </c>
      <c r="V121" s="38">
        <v>200</v>
      </c>
      <c r="W121" s="38">
        <v>120</v>
      </c>
      <c r="X121" s="38">
        <v>0</v>
      </c>
      <c r="Y121" s="38">
        <v>0</v>
      </c>
      <c r="Z121" s="38">
        <v>80</v>
      </c>
      <c r="AA121" s="38">
        <f>[1]参数!$D$1</f>
        <v>0.096</v>
      </c>
      <c r="AB121" s="38"/>
      <c r="AC121" s="38">
        <f t="shared" si="76"/>
        <v>3200</v>
      </c>
      <c r="AD121" s="38">
        <f t="shared" si="77"/>
        <v>3200</v>
      </c>
      <c r="AE121" s="38">
        <f t="shared" si="78"/>
        <v>307.2</v>
      </c>
      <c r="AF121" s="38">
        <f t="shared" si="80"/>
        <v>120</v>
      </c>
      <c r="AG121" s="38">
        <f>ROUND((AF121*$AM$1),0)</f>
        <v>120</v>
      </c>
      <c r="AH121" s="96">
        <v>45474</v>
      </c>
      <c r="AI121" s="96">
        <v>45536</v>
      </c>
      <c r="AJ121" s="83"/>
    </row>
    <row r="122" s="45" customFormat="1" ht="24" customHeight="1" spans="1:36">
      <c r="A122" s="38">
        <v>2</v>
      </c>
      <c r="B122" s="38" t="s">
        <v>343</v>
      </c>
      <c r="C122" s="38" t="s">
        <v>344</v>
      </c>
      <c r="D122" s="38" t="s">
        <v>70</v>
      </c>
      <c r="E122" s="69"/>
      <c r="F122" s="69">
        <v>1</v>
      </c>
      <c r="G122" s="69"/>
      <c r="H122" s="69"/>
      <c r="I122" s="69"/>
      <c r="J122" s="69"/>
      <c r="K122" s="69"/>
      <c r="L122" s="38"/>
      <c r="M122" s="73" t="s">
        <v>345</v>
      </c>
      <c r="N122" s="69"/>
      <c r="O122" s="69"/>
      <c r="P122" s="38">
        <v>605</v>
      </c>
      <c r="Q122" s="69"/>
      <c r="R122" s="69"/>
      <c r="S122" s="69"/>
      <c r="T122" s="69"/>
      <c r="U122" s="69"/>
      <c r="V122" s="38">
        <v>605</v>
      </c>
      <c r="W122" s="38">
        <v>605</v>
      </c>
      <c r="X122" s="38">
        <v>0</v>
      </c>
      <c r="Y122" s="38">
        <v>0</v>
      </c>
      <c r="Z122" s="38">
        <v>0</v>
      </c>
      <c r="AA122" s="69"/>
      <c r="AB122" s="69"/>
      <c r="AC122" s="69"/>
      <c r="AD122" s="69"/>
      <c r="AE122" s="38">
        <f>INT(IF(V122&lt;[1]参数!$F$9,V122*[1]参数!$F$10,[1]参数!$F$9*[1]参数!$F$10+(V122-[1]参数!$F$9)*[1]参数!$G$10))</f>
        <v>271</v>
      </c>
      <c r="AF122" s="38">
        <f t="shared" si="80"/>
        <v>271</v>
      </c>
      <c r="AG122" s="38">
        <f>ROUND((AF122*$AM$1),0)</f>
        <v>271</v>
      </c>
      <c r="AH122" s="82">
        <v>45352</v>
      </c>
      <c r="AI122" s="82">
        <v>45536</v>
      </c>
      <c r="AJ122" s="83"/>
    </row>
    <row r="123" s="45" customFormat="1" ht="24" customHeight="1" spans="1:36">
      <c r="A123" s="68" t="s">
        <v>140</v>
      </c>
      <c r="B123" s="68" t="s">
        <v>346</v>
      </c>
      <c r="C123" s="68">
        <v>3</v>
      </c>
      <c r="D123" s="69"/>
      <c r="E123" s="68">
        <f t="shared" ref="E123:Z123" si="82">SUM(E124:E126)</f>
        <v>1</v>
      </c>
      <c r="F123" s="68">
        <f t="shared" si="82"/>
        <v>1</v>
      </c>
      <c r="G123" s="68">
        <f t="shared" si="82"/>
        <v>0</v>
      </c>
      <c r="H123" s="68">
        <f t="shared" si="82"/>
        <v>1</v>
      </c>
      <c r="I123" s="68">
        <f t="shared" si="82"/>
        <v>0</v>
      </c>
      <c r="J123" s="68">
        <f t="shared" si="82"/>
        <v>0</v>
      </c>
      <c r="K123" s="68">
        <f t="shared" si="82"/>
        <v>15916</v>
      </c>
      <c r="L123" s="68">
        <f t="shared" si="82"/>
        <v>0</v>
      </c>
      <c r="M123" s="72">
        <f t="shared" si="82"/>
        <v>0</v>
      </c>
      <c r="N123" s="68">
        <f t="shared" si="82"/>
        <v>11319.84</v>
      </c>
      <c r="O123" s="68">
        <f t="shared" si="82"/>
        <v>600</v>
      </c>
      <c r="P123" s="68">
        <f t="shared" si="82"/>
        <v>750</v>
      </c>
      <c r="Q123" s="68">
        <f t="shared" si="82"/>
        <v>11319.84</v>
      </c>
      <c r="R123" s="68">
        <f t="shared" si="82"/>
        <v>42</v>
      </c>
      <c r="S123" s="68">
        <f t="shared" si="82"/>
        <v>360</v>
      </c>
      <c r="T123" s="68">
        <f t="shared" si="82"/>
        <v>30</v>
      </c>
      <c r="U123" s="68">
        <f t="shared" si="82"/>
        <v>900</v>
      </c>
      <c r="V123" s="68">
        <f t="shared" si="82"/>
        <v>1350</v>
      </c>
      <c r="W123" s="68">
        <f t="shared" si="82"/>
        <v>983</v>
      </c>
      <c r="X123" s="68">
        <f t="shared" si="82"/>
        <v>0</v>
      </c>
      <c r="Y123" s="68">
        <f t="shared" si="82"/>
        <v>192</v>
      </c>
      <c r="Z123" s="68">
        <f t="shared" si="82"/>
        <v>175</v>
      </c>
      <c r="AA123" s="68"/>
      <c r="AB123" s="68"/>
      <c r="AC123" s="68"/>
      <c r="AD123" s="68"/>
      <c r="AE123" s="68"/>
      <c r="AF123" s="68">
        <f>SUM(AF124:AF126)</f>
        <v>828</v>
      </c>
      <c r="AG123" s="68">
        <f>SUM(AG124:AG126)</f>
        <v>828</v>
      </c>
      <c r="AH123" s="95"/>
      <c r="AI123" s="95"/>
      <c r="AJ123" s="84"/>
    </row>
    <row r="124" s="47" customFormat="1" ht="24" customHeight="1" spans="1:36">
      <c r="A124" s="38">
        <v>1</v>
      </c>
      <c r="B124" s="38" t="s">
        <v>347</v>
      </c>
      <c r="C124" s="38" t="s">
        <v>348</v>
      </c>
      <c r="D124" s="38" t="s">
        <v>87</v>
      </c>
      <c r="E124" s="38">
        <v>1</v>
      </c>
      <c r="F124" s="38"/>
      <c r="G124" s="38"/>
      <c r="H124" s="38"/>
      <c r="I124" s="38"/>
      <c r="J124" s="38"/>
      <c r="K124" s="38">
        <v>10876</v>
      </c>
      <c r="L124" s="38"/>
      <c r="M124" s="73" t="s">
        <v>349</v>
      </c>
      <c r="N124" s="38">
        <v>6715</v>
      </c>
      <c r="O124" s="38">
        <v>300</v>
      </c>
      <c r="P124" s="38">
        <v>150</v>
      </c>
      <c r="Q124" s="38">
        <v>6715</v>
      </c>
      <c r="R124" s="38">
        <v>30</v>
      </c>
      <c r="S124" s="38"/>
      <c r="T124" s="38">
        <v>30</v>
      </c>
      <c r="U124" s="38">
        <v>900</v>
      </c>
      <c r="V124" s="38">
        <v>450</v>
      </c>
      <c r="W124" s="38">
        <v>300</v>
      </c>
      <c r="X124" s="38">
        <v>0</v>
      </c>
      <c r="Y124" s="38">
        <v>0</v>
      </c>
      <c r="Z124" s="38">
        <v>150</v>
      </c>
      <c r="AA124" s="38">
        <f>[1]参数!$D$1</f>
        <v>0.096</v>
      </c>
      <c r="AB124" s="38"/>
      <c r="AC124" s="38">
        <f>IF((T124)&gt;=12,3200,IF((T124)&gt;=9,2500,IF((T124)&gt;=6,1800,1200)))</f>
        <v>3200</v>
      </c>
      <c r="AD124" s="38">
        <f>ROUND(MIN(AC124,N124),0)</f>
        <v>3200</v>
      </c>
      <c r="AE124" s="38">
        <f>AA124*AD124</f>
        <v>307.2</v>
      </c>
      <c r="AF124" s="38">
        <f>ROUND(MIN(AE124,W124),0)</f>
        <v>300</v>
      </c>
      <c r="AG124" s="38">
        <f>ROUND((AF124*$AM$1),0)</f>
        <v>300</v>
      </c>
      <c r="AH124" s="96">
        <v>45444</v>
      </c>
      <c r="AI124" s="96">
        <v>45870</v>
      </c>
      <c r="AJ124" s="83"/>
    </row>
    <row r="125" s="45" customFormat="1" ht="24" customHeight="1" spans="1:36">
      <c r="A125" s="38">
        <v>2</v>
      </c>
      <c r="B125" s="38" t="s">
        <v>350</v>
      </c>
      <c r="C125" s="38" t="s">
        <v>351</v>
      </c>
      <c r="D125" s="38" t="s">
        <v>70</v>
      </c>
      <c r="E125" s="69"/>
      <c r="F125" s="69">
        <v>1</v>
      </c>
      <c r="G125" s="69"/>
      <c r="H125" s="69"/>
      <c r="I125" s="69"/>
      <c r="J125" s="69"/>
      <c r="K125" s="69"/>
      <c r="L125" s="38"/>
      <c r="M125" s="73" t="s">
        <v>352</v>
      </c>
      <c r="N125" s="69"/>
      <c r="O125" s="69"/>
      <c r="P125" s="38">
        <v>200</v>
      </c>
      <c r="Q125" s="69"/>
      <c r="R125" s="69"/>
      <c r="S125" s="69"/>
      <c r="T125" s="69"/>
      <c r="U125" s="69"/>
      <c r="V125" s="38">
        <v>200</v>
      </c>
      <c r="W125" s="38">
        <v>175</v>
      </c>
      <c r="X125" s="38">
        <v>0</v>
      </c>
      <c r="Y125" s="38">
        <v>0</v>
      </c>
      <c r="Z125" s="38">
        <v>25</v>
      </c>
      <c r="AA125" s="69"/>
      <c r="AB125" s="69"/>
      <c r="AC125" s="69"/>
      <c r="AD125" s="69"/>
      <c r="AE125" s="38">
        <f>INT(IF(V125&lt;[1]参数!$F$9,V125*[1]参数!$F$10,[1]参数!$F$9*[1]参数!$F$10+(V125-[1]参数!$F$9)*[1]参数!$G$10))</f>
        <v>170</v>
      </c>
      <c r="AF125" s="38">
        <f>ROUND(MIN(AE125,W125),0)</f>
        <v>170</v>
      </c>
      <c r="AG125" s="38">
        <f>ROUND((AF125*$AM$1),0)</f>
        <v>170</v>
      </c>
      <c r="AH125" s="82">
        <v>45444</v>
      </c>
      <c r="AI125" s="82">
        <v>45505</v>
      </c>
      <c r="AJ125" s="83"/>
    </row>
    <row r="126" s="53" customFormat="1" ht="24" customHeight="1" spans="1:36">
      <c r="A126" s="38">
        <v>3</v>
      </c>
      <c r="B126" s="38" t="s">
        <v>350</v>
      </c>
      <c r="C126" s="38" t="s">
        <v>353</v>
      </c>
      <c r="D126" s="38" t="s">
        <v>26</v>
      </c>
      <c r="E126" s="38"/>
      <c r="F126" s="38"/>
      <c r="G126" s="38"/>
      <c r="H126" s="38">
        <v>1</v>
      </c>
      <c r="I126" s="38"/>
      <c r="J126" s="38"/>
      <c r="K126" s="38">
        <v>5040</v>
      </c>
      <c r="L126" s="38" t="s">
        <v>354</v>
      </c>
      <c r="M126" s="73" t="s">
        <v>355</v>
      </c>
      <c r="N126" s="38">
        <v>4604.84</v>
      </c>
      <c r="O126" s="38">
        <v>300</v>
      </c>
      <c r="P126" s="38">
        <v>400</v>
      </c>
      <c r="Q126" s="38">
        <v>4604.84</v>
      </c>
      <c r="R126" s="38">
        <v>12</v>
      </c>
      <c r="S126" s="38">
        <v>360</v>
      </c>
      <c r="T126" s="38"/>
      <c r="U126" s="38"/>
      <c r="V126" s="38">
        <v>700</v>
      </c>
      <c r="W126" s="38">
        <v>508</v>
      </c>
      <c r="X126" s="38">
        <v>0</v>
      </c>
      <c r="Y126" s="38">
        <v>192</v>
      </c>
      <c r="Z126" s="38">
        <v>0</v>
      </c>
      <c r="AA126" s="38">
        <f>[1]参数!$B$1</f>
        <v>0.28</v>
      </c>
      <c r="AB126" s="38">
        <f>[1]参数!$B$4</f>
        <v>0.4</v>
      </c>
      <c r="AC126" s="38">
        <f t="shared" ref="AC126:AC129" si="83">IF(R126&gt;=12,3200,IF(R126&gt;=9,2500,IF(R126&gt;=6,1800,1200)))</f>
        <v>3200</v>
      </c>
      <c r="AD126" s="38">
        <f t="shared" ref="AD126:AD129" si="84">ROUND(MIN(N126,AC126),0)</f>
        <v>3200</v>
      </c>
      <c r="AE126" s="38">
        <f t="shared" ref="AE126:AE129" si="85">AA126*AB126*AD126</f>
        <v>358.4</v>
      </c>
      <c r="AF126" s="38">
        <f t="shared" ref="AF126:AF129" si="86">ROUND(MIN(W126,AE126),0)</f>
        <v>358</v>
      </c>
      <c r="AG126" s="38">
        <f>ROUND((AF126*$AM$1),0)</f>
        <v>358</v>
      </c>
      <c r="AH126" s="82">
        <v>45505</v>
      </c>
      <c r="AI126" s="82">
        <v>45627</v>
      </c>
      <c r="AJ126" s="85"/>
    </row>
    <row r="127" s="53" customFormat="1" ht="24" customHeight="1" spans="1:36">
      <c r="A127" s="68" t="s">
        <v>147</v>
      </c>
      <c r="B127" s="68" t="s">
        <v>356</v>
      </c>
      <c r="C127" s="68">
        <v>2</v>
      </c>
      <c r="D127" s="68"/>
      <c r="E127" s="68">
        <f t="shared" ref="E127:Z127" si="87">SUM(E128:E129)</f>
        <v>0</v>
      </c>
      <c r="F127" s="68">
        <f t="shared" si="87"/>
        <v>0</v>
      </c>
      <c r="G127" s="68">
        <f t="shared" si="87"/>
        <v>0</v>
      </c>
      <c r="H127" s="68">
        <f t="shared" si="87"/>
        <v>2</v>
      </c>
      <c r="I127" s="68">
        <f t="shared" si="87"/>
        <v>0</v>
      </c>
      <c r="J127" s="68">
        <f t="shared" si="87"/>
        <v>0</v>
      </c>
      <c r="K127" s="68">
        <f t="shared" si="87"/>
        <v>5296</v>
      </c>
      <c r="L127" s="68">
        <f t="shared" si="87"/>
        <v>0</v>
      </c>
      <c r="M127" s="72">
        <f t="shared" si="87"/>
        <v>0</v>
      </c>
      <c r="N127" s="68">
        <f t="shared" si="87"/>
        <v>5296</v>
      </c>
      <c r="O127" s="68">
        <f t="shared" si="87"/>
        <v>640</v>
      </c>
      <c r="P127" s="68">
        <f t="shared" si="87"/>
        <v>160</v>
      </c>
      <c r="Q127" s="68">
        <f t="shared" si="87"/>
        <v>5296</v>
      </c>
      <c r="R127" s="68">
        <f t="shared" si="87"/>
        <v>16</v>
      </c>
      <c r="S127" s="68">
        <f t="shared" si="87"/>
        <v>480</v>
      </c>
      <c r="T127" s="68">
        <f t="shared" si="87"/>
        <v>0</v>
      </c>
      <c r="U127" s="68">
        <f t="shared" si="87"/>
        <v>0</v>
      </c>
      <c r="V127" s="68">
        <f t="shared" si="87"/>
        <v>800</v>
      </c>
      <c r="W127" s="68">
        <f t="shared" si="87"/>
        <v>520</v>
      </c>
      <c r="X127" s="68">
        <f t="shared" si="87"/>
        <v>0</v>
      </c>
      <c r="Y127" s="68">
        <f t="shared" si="87"/>
        <v>280</v>
      </c>
      <c r="Z127" s="68">
        <f t="shared" si="87"/>
        <v>0</v>
      </c>
      <c r="AA127" s="68"/>
      <c r="AB127" s="68"/>
      <c r="AC127" s="68"/>
      <c r="AD127" s="68"/>
      <c r="AE127" s="68"/>
      <c r="AF127" s="68">
        <f>SUM(AF128:AF129)</f>
        <v>492</v>
      </c>
      <c r="AG127" s="68">
        <f>SUM(AG128:AG129)</f>
        <v>492</v>
      </c>
      <c r="AH127" s="81"/>
      <c r="AI127" s="81"/>
      <c r="AJ127" s="85"/>
    </row>
    <row r="128" s="53" customFormat="1" ht="24" customHeight="1" spans="1:36">
      <c r="A128" s="38">
        <v>1</v>
      </c>
      <c r="B128" s="38" t="s">
        <v>357</v>
      </c>
      <c r="C128" s="38" t="s">
        <v>358</v>
      </c>
      <c r="D128" s="38" t="s">
        <v>26</v>
      </c>
      <c r="E128" s="38"/>
      <c r="F128" s="38"/>
      <c r="G128" s="38"/>
      <c r="H128" s="38">
        <v>1</v>
      </c>
      <c r="I128" s="38"/>
      <c r="J128" s="38"/>
      <c r="K128" s="38">
        <v>4012</v>
      </c>
      <c r="L128" s="38" t="s">
        <v>359</v>
      </c>
      <c r="M128" s="73" t="s">
        <v>360</v>
      </c>
      <c r="N128" s="38">
        <v>4012</v>
      </c>
      <c r="O128" s="38">
        <v>420</v>
      </c>
      <c r="P128" s="38">
        <v>120</v>
      </c>
      <c r="Q128" s="38">
        <v>4012</v>
      </c>
      <c r="R128" s="38">
        <v>12</v>
      </c>
      <c r="S128" s="38">
        <v>360</v>
      </c>
      <c r="T128" s="38"/>
      <c r="U128" s="38"/>
      <c r="V128" s="38">
        <v>540</v>
      </c>
      <c r="W128" s="38">
        <v>360</v>
      </c>
      <c r="X128" s="38">
        <v>0</v>
      </c>
      <c r="Y128" s="38">
        <v>180</v>
      </c>
      <c r="Z128" s="38">
        <v>0</v>
      </c>
      <c r="AA128" s="38">
        <f>[1]参数!$B$1</f>
        <v>0.28</v>
      </c>
      <c r="AB128" s="38">
        <f>[1]参数!$B$4</f>
        <v>0.4</v>
      </c>
      <c r="AC128" s="38">
        <f t="shared" si="83"/>
        <v>3200</v>
      </c>
      <c r="AD128" s="38">
        <f t="shared" si="84"/>
        <v>3200</v>
      </c>
      <c r="AE128" s="38">
        <f t="shared" si="85"/>
        <v>358.4</v>
      </c>
      <c r="AF128" s="38">
        <f t="shared" si="86"/>
        <v>358</v>
      </c>
      <c r="AG128" s="38">
        <f>ROUND((AF128*$AM$1),0)</f>
        <v>358</v>
      </c>
      <c r="AH128" s="82">
        <v>45474</v>
      </c>
      <c r="AI128" s="82">
        <v>45536</v>
      </c>
      <c r="AJ128" s="85" t="s">
        <v>320</v>
      </c>
    </row>
    <row r="129" s="53" customFormat="1" ht="24" customHeight="1" spans="1:36">
      <c r="A129" s="38">
        <v>2</v>
      </c>
      <c r="B129" s="38" t="s">
        <v>357</v>
      </c>
      <c r="C129" s="38" t="s">
        <v>361</v>
      </c>
      <c r="D129" s="38" t="s">
        <v>26</v>
      </c>
      <c r="E129" s="38"/>
      <c r="F129" s="38"/>
      <c r="G129" s="38"/>
      <c r="H129" s="38">
        <v>1</v>
      </c>
      <c r="I129" s="38"/>
      <c r="J129" s="38"/>
      <c r="K129" s="38">
        <v>1284</v>
      </c>
      <c r="L129" s="38" t="s">
        <v>362</v>
      </c>
      <c r="M129" s="73" t="s">
        <v>360</v>
      </c>
      <c r="N129" s="38">
        <v>1284</v>
      </c>
      <c r="O129" s="38">
        <v>220</v>
      </c>
      <c r="P129" s="38">
        <v>40</v>
      </c>
      <c r="Q129" s="38">
        <v>1284</v>
      </c>
      <c r="R129" s="38">
        <v>4</v>
      </c>
      <c r="S129" s="38">
        <v>120</v>
      </c>
      <c r="T129" s="38"/>
      <c r="U129" s="38"/>
      <c r="V129" s="38">
        <v>260</v>
      </c>
      <c r="W129" s="38">
        <v>160</v>
      </c>
      <c r="X129" s="38">
        <v>0</v>
      </c>
      <c r="Y129" s="38">
        <v>100</v>
      </c>
      <c r="Z129" s="38">
        <v>0</v>
      </c>
      <c r="AA129" s="38">
        <f>[1]参数!$B$1</f>
        <v>0.28</v>
      </c>
      <c r="AB129" s="38">
        <f>[1]参数!$B$4</f>
        <v>0.4</v>
      </c>
      <c r="AC129" s="38">
        <f t="shared" si="83"/>
        <v>1200</v>
      </c>
      <c r="AD129" s="38">
        <f t="shared" si="84"/>
        <v>1200</v>
      </c>
      <c r="AE129" s="38">
        <f t="shared" si="85"/>
        <v>134.4</v>
      </c>
      <c r="AF129" s="38">
        <f t="shared" si="86"/>
        <v>134</v>
      </c>
      <c r="AG129" s="38">
        <f>ROUND((AF129*$AM$1),0)</f>
        <v>134</v>
      </c>
      <c r="AH129" s="82">
        <v>45413</v>
      </c>
      <c r="AI129" s="82">
        <v>45444</v>
      </c>
      <c r="AJ129" s="85" t="s">
        <v>320</v>
      </c>
    </row>
    <row r="130" s="45" customFormat="1" ht="24" customHeight="1" spans="1:36">
      <c r="A130" s="38"/>
      <c r="B130" s="68" t="s">
        <v>363</v>
      </c>
      <c r="C130" s="68">
        <f t="shared" ref="C130:AG130" si="88">C131++C133+C135+C138+C142+C144+C147+C149+C152+C154+C157+C160+C162</f>
        <v>21</v>
      </c>
      <c r="D130" s="68">
        <f t="shared" si="88"/>
        <v>0</v>
      </c>
      <c r="E130" s="68">
        <f t="shared" si="88"/>
        <v>3</v>
      </c>
      <c r="F130" s="68">
        <f t="shared" si="88"/>
        <v>14</v>
      </c>
      <c r="G130" s="68">
        <f t="shared" si="88"/>
        <v>1</v>
      </c>
      <c r="H130" s="68">
        <f t="shared" si="88"/>
        <v>2</v>
      </c>
      <c r="I130" s="68">
        <f t="shared" si="88"/>
        <v>1</v>
      </c>
      <c r="J130" s="68">
        <f t="shared" si="88"/>
        <v>0</v>
      </c>
      <c r="K130" s="68">
        <f t="shared" si="88"/>
        <v>30572.7</v>
      </c>
      <c r="L130" s="68">
        <f t="shared" si="88"/>
        <v>0</v>
      </c>
      <c r="M130" s="72">
        <f t="shared" si="88"/>
        <v>0</v>
      </c>
      <c r="N130" s="68">
        <f t="shared" si="88"/>
        <v>23795.07</v>
      </c>
      <c r="O130" s="68">
        <f t="shared" si="88"/>
        <v>5130</v>
      </c>
      <c r="P130" s="68">
        <f t="shared" si="88"/>
        <v>4264.68</v>
      </c>
      <c r="Q130" s="68">
        <f t="shared" si="88"/>
        <v>27844.07</v>
      </c>
      <c r="R130" s="68">
        <f t="shared" si="88"/>
        <v>93</v>
      </c>
      <c r="S130" s="68">
        <f t="shared" si="88"/>
        <v>1170</v>
      </c>
      <c r="T130" s="68">
        <f t="shared" si="88"/>
        <v>51</v>
      </c>
      <c r="U130" s="68">
        <f t="shared" si="88"/>
        <v>1700</v>
      </c>
      <c r="V130" s="68">
        <f t="shared" si="88"/>
        <v>9274.68</v>
      </c>
      <c r="W130" s="68">
        <f t="shared" si="88"/>
        <v>6812.54</v>
      </c>
      <c r="X130" s="68">
        <f t="shared" si="88"/>
        <v>0</v>
      </c>
      <c r="Y130" s="68">
        <f t="shared" si="88"/>
        <v>1857.14</v>
      </c>
      <c r="Z130" s="68">
        <f t="shared" si="88"/>
        <v>605</v>
      </c>
      <c r="AA130" s="68">
        <f t="shared" si="88"/>
        <v>0</v>
      </c>
      <c r="AB130" s="68">
        <f t="shared" si="88"/>
        <v>0</v>
      </c>
      <c r="AC130" s="68">
        <f t="shared" si="88"/>
        <v>0</v>
      </c>
      <c r="AD130" s="68">
        <f t="shared" si="88"/>
        <v>0</v>
      </c>
      <c r="AE130" s="68">
        <f t="shared" si="88"/>
        <v>0</v>
      </c>
      <c r="AF130" s="68">
        <f t="shared" si="88"/>
        <v>4192</v>
      </c>
      <c r="AG130" s="68">
        <f t="shared" si="88"/>
        <v>4192</v>
      </c>
      <c r="AH130" s="81"/>
      <c r="AI130" s="81"/>
      <c r="AJ130" s="84"/>
    </row>
    <row r="131" s="45" customFormat="1" ht="24" customHeight="1" spans="1:36">
      <c r="A131" s="68" t="s">
        <v>44</v>
      </c>
      <c r="B131" s="68" t="s">
        <v>364</v>
      </c>
      <c r="C131" s="68">
        <v>1</v>
      </c>
      <c r="D131" s="69"/>
      <c r="E131" s="68">
        <f t="shared" ref="E131:Z131" si="89">SUM(E132)</f>
        <v>0</v>
      </c>
      <c r="F131" s="68">
        <f t="shared" si="89"/>
        <v>1</v>
      </c>
      <c r="G131" s="68">
        <f t="shared" si="89"/>
        <v>0</v>
      </c>
      <c r="H131" s="68">
        <f t="shared" si="89"/>
        <v>0</v>
      </c>
      <c r="I131" s="68">
        <f t="shared" si="89"/>
        <v>0</v>
      </c>
      <c r="J131" s="68">
        <f t="shared" si="89"/>
        <v>0</v>
      </c>
      <c r="K131" s="68">
        <f t="shared" si="89"/>
        <v>0</v>
      </c>
      <c r="L131" s="68">
        <f t="shared" si="89"/>
        <v>0</v>
      </c>
      <c r="M131" s="72">
        <f t="shared" si="89"/>
        <v>0</v>
      </c>
      <c r="N131" s="68">
        <f t="shared" si="89"/>
        <v>0</v>
      </c>
      <c r="O131" s="68">
        <f t="shared" si="89"/>
        <v>0</v>
      </c>
      <c r="P131" s="68">
        <f t="shared" si="89"/>
        <v>360</v>
      </c>
      <c r="Q131" s="68">
        <f t="shared" si="89"/>
        <v>0</v>
      </c>
      <c r="R131" s="68">
        <f t="shared" si="89"/>
        <v>0</v>
      </c>
      <c r="S131" s="68">
        <f t="shared" si="89"/>
        <v>0</v>
      </c>
      <c r="T131" s="68">
        <f t="shared" si="89"/>
        <v>0</v>
      </c>
      <c r="U131" s="68">
        <f t="shared" si="89"/>
        <v>0</v>
      </c>
      <c r="V131" s="68">
        <f t="shared" si="89"/>
        <v>360</v>
      </c>
      <c r="W131" s="68">
        <f t="shared" si="89"/>
        <v>144</v>
      </c>
      <c r="X131" s="68">
        <f t="shared" si="89"/>
        <v>0</v>
      </c>
      <c r="Y131" s="68">
        <f t="shared" si="89"/>
        <v>216</v>
      </c>
      <c r="Z131" s="68">
        <f t="shared" si="89"/>
        <v>0</v>
      </c>
      <c r="AA131" s="68"/>
      <c r="AB131" s="68"/>
      <c r="AC131" s="68"/>
      <c r="AD131" s="68"/>
      <c r="AE131" s="68"/>
      <c r="AF131" s="68">
        <f>SUM(AF132)</f>
        <v>144</v>
      </c>
      <c r="AG131" s="68">
        <f>SUM(AG132)</f>
        <v>144</v>
      </c>
      <c r="AH131" s="81"/>
      <c r="AI131" s="81"/>
      <c r="AJ131" s="84"/>
    </row>
    <row r="132" s="45" customFormat="1" ht="32" customHeight="1" spans="1:36">
      <c r="A132" s="38">
        <v>1</v>
      </c>
      <c r="B132" s="38" t="s">
        <v>365</v>
      </c>
      <c r="C132" s="38" t="s">
        <v>366</v>
      </c>
      <c r="D132" s="38" t="s">
        <v>70</v>
      </c>
      <c r="E132" s="69"/>
      <c r="F132" s="69">
        <v>1</v>
      </c>
      <c r="G132" s="69"/>
      <c r="H132" s="69"/>
      <c r="I132" s="69"/>
      <c r="J132" s="69"/>
      <c r="K132" s="69"/>
      <c r="L132" s="38"/>
      <c r="M132" s="73" t="s">
        <v>367</v>
      </c>
      <c r="N132" s="69"/>
      <c r="O132" s="69"/>
      <c r="P132" s="38">
        <v>360</v>
      </c>
      <c r="Q132" s="69"/>
      <c r="R132" s="69"/>
      <c r="S132" s="69"/>
      <c r="T132" s="69"/>
      <c r="U132" s="69"/>
      <c r="V132" s="38">
        <v>360</v>
      </c>
      <c r="W132" s="38">
        <v>144</v>
      </c>
      <c r="X132" s="38"/>
      <c r="Y132" s="38">
        <v>216</v>
      </c>
      <c r="Z132" s="38"/>
      <c r="AA132" s="69"/>
      <c r="AB132" s="69"/>
      <c r="AC132" s="69"/>
      <c r="AD132" s="69"/>
      <c r="AE132" s="38">
        <f>INT(IF(V132&lt;[1]参数!$F$9,V132*[1]参数!$F$10,[1]参数!$F$9*[1]参数!$F$10+(V132-[1]参数!$F$9)*[1]参数!$G$10))</f>
        <v>210</v>
      </c>
      <c r="AF132" s="38">
        <f t="shared" ref="AF132:AF137" si="90">ROUND(MIN(AE132,W132),0)</f>
        <v>144</v>
      </c>
      <c r="AG132" s="38">
        <f>ROUND((AF132*$AM$1),0)</f>
        <v>144</v>
      </c>
      <c r="AH132" s="82">
        <v>45323</v>
      </c>
      <c r="AI132" s="82">
        <v>45444</v>
      </c>
      <c r="AJ132" s="83" t="s">
        <v>72</v>
      </c>
    </row>
    <row r="133" s="50" customFormat="1" ht="24" customHeight="1" spans="1:36">
      <c r="A133" s="68" t="s">
        <v>50</v>
      </c>
      <c r="B133" s="68" t="s">
        <v>368</v>
      </c>
      <c r="C133" s="68">
        <v>1</v>
      </c>
      <c r="D133" s="68"/>
      <c r="E133" s="68">
        <f t="shared" ref="E133:Z133" si="91">SUM(E134)</f>
        <v>1</v>
      </c>
      <c r="F133" s="68">
        <f t="shared" si="91"/>
        <v>0</v>
      </c>
      <c r="G133" s="68">
        <f t="shared" si="91"/>
        <v>0</v>
      </c>
      <c r="H133" s="68">
        <f t="shared" si="91"/>
        <v>0</v>
      </c>
      <c r="I133" s="68">
        <f t="shared" si="91"/>
        <v>0</v>
      </c>
      <c r="J133" s="68">
        <f t="shared" si="91"/>
        <v>0</v>
      </c>
      <c r="K133" s="68">
        <f t="shared" si="91"/>
        <v>1300</v>
      </c>
      <c r="L133" s="68">
        <f t="shared" si="91"/>
        <v>0</v>
      </c>
      <c r="M133" s="72">
        <f t="shared" si="91"/>
        <v>0</v>
      </c>
      <c r="N133" s="68">
        <f t="shared" si="91"/>
        <v>3904</v>
      </c>
      <c r="O133" s="68">
        <f t="shared" si="91"/>
        <v>200</v>
      </c>
      <c r="P133" s="68">
        <f t="shared" si="91"/>
        <v>50</v>
      </c>
      <c r="Q133" s="68">
        <f t="shared" si="91"/>
        <v>3904</v>
      </c>
      <c r="R133" s="68">
        <f t="shared" si="91"/>
        <v>18</v>
      </c>
      <c r="S133" s="68">
        <f t="shared" si="91"/>
        <v>0</v>
      </c>
      <c r="T133" s="68">
        <f t="shared" si="91"/>
        <v>18</v>
      </c>
      <c r="U133" s="68">
        <f t="shared" si="91"/>
        <v>540</v>
      </c>
      <c r="V133" s="68">
        <f t="shared" si="91"/>
        <v>250</v>
      </c>
      <c r="W133" s="68">
        <f t="shared" si="91"/>
        <v>200</v>
      </c>
      <c r="X133" s="68">
        <f t="shared" si="91"/>
        <v>0</v>
      </c>
      <c r="Y133" s="68">
        <f t="shared" si="91"/>
        <v>50</v>
      </c>
      <c r="Z133" s="68">
        <f t="shared" si="91"/>
        <v>0</v>
      </c>
      <c r="AA133" s="68"/>
      <c r="AB133" s="68"/>
      <c r="AC133" s="68"/>
      <c r="AD133" s="68"/>
      <c r="AE133" s="68"/>
      <c r="AF133" s="68">
        <f>SUM(AF134)</f>
        <v>119</v>
      </c>
      <c r="AG133" s="68">
        <f>SUM(AG134)</f>
        <v>119</v>
      </c>
      <c r="AH133" s="81"/>
      <c r="AI133" s="81"/>
      <c r="AJ133" s="83"/>
    </row>
    <row r="134" s="50" customFormat="1" ht="24" customHeight="1" spans="1:36">
      <c r="A134" s="38">
        <v>1</v>
      </c>
      <c r="B134" s="38" t="s">
        <v>369</v>
      </c>
      <c r="C134" s="38" t="s">
        <v>370</v>
      </c>
      <c r="D134" s="38" t="s">
        <v>87</v>
      </c>
      <c r="E134" s="38">
        <v>1</v>
      </c>
      <c r="F134" s="38"/>
      <c r="G134" s="38"/>
      <c r="H134" s="38"/>
      <c r="I134" s="38"/>
      <c r="J134" s="38"/>
      <c r="K134" s="38">
        <v>1300</v>
      </c>
      <c r="L134" s="38"/>
      <c r="M134" s="73" t="s">
        <v>371</v>
      </c>
      <c r="N134" s="38">
        <v>3904</v>
      </c>
      <c r="O134" s="38">
        <v>200</v>
      </c>
      <c r="P134" s="38">
        <v>50</v>
      </c>
      <c r="Q134" s="38">
        <v>3904</v>
      </c>
      <c r="R134" s="38">
        <v>18</v>
      </c>
      <c r="S134" s="38"/>
      <c r="T134" s="38">
        <v>18</v>
      </c>
      <c r="U134" s="38">
        <v>540</v>
      </c>
      <c r="V134" s="38">
        <f t="shared" ref="V134:V137" si="92">SUM(W134:Z134)</f>
        <v>250</v>
      </c>
      <c r="W134" s="38">
        <v>200</v>
      </c>
      <c r="X134" s="38"/>
      <c r="Y134" s="38">
        <v>50</v>
      </c>
      <c r="Z134" s="38"/>
      <c r="AA134" s="38">
        <f>[1]参数!$D$1</f>
        <v>0.096</v>
      </c>
      <c r="AB134" s="38"/>
      <c r="AC134" s="38">
        <f>IF((T134)&gt;=12,3200,IF((T134)&gt;=9,2500,IF((T134)&gt;=6,1800,1200)))</f>
        <v>3200</v>
      </c>
      <c r="AD134" s="38">
        <f>ROUND(MIN(AC134,N134),0)</f>
        <v>3200</v>
      </c>
      <c r="AE134" s="38">
        <f>AA134*AD134</f>
        <v>307.2</v>
      </c>
      <c r="AF134" s="38">
        <f>ROUND(MIN(AE134,W134)-81,0)</f>
        <v>119</v>
      </c>
      <c r="AG134" s="38">
        <f>ROUND((AF134*$AM$1),0)</f>
        <v>119</v>
      </c>
      <c r="AH134" s="82">
        <v>45383</v>
      </c>
      <c r="AI134" s="82">
        <v>45536</v>
      </c>
      <c r="AJ134" s="83" t="s">
        <v>372</v>
      </c>
    </row>
    <row r="135" s="45" customFormat="1" ht="24" customHeight="1" spans="1:36">
      <c r="A135" s="68" t="s">
        <v>59</v>
      </c>
      <c r="B135" s="68" t="s">
        <v>373</v>
      </c>
      <c r="C135" s="68">
        <v>2</v>
      </c>
      <c r="D135" s="69"/>
      <c r="E135" s="68">
        <f t="shared" ref="E135:Z135" si="93">SUM(E136:E137)</f>
        <v>0</v>
      </c>
      <c r="F135" s="68">
        <f t="shared" si="93"/>
        <v>2</v>
      </c>
      <c r="G135" s="68">
        <f t="shared" si="93"/>
        <v>0</v>
      </c>
      <c r="H135" s="68">
        <f t="shared" si="93"/>
        <v>0</v>
      </c>
      <c r="I135" s="68">
        <f t="shared" si="93"/>
        <v>0</v>
      </c>
      <c r="J135" s="68">
        <f t="shared" si="93"/>
        <v>0</v>
      </c>
      <c r="K135" s="68">
        <f t="shared" si="93"/>
        <v>0</v>
      </c>
      <c r="L135" s="68">
        <f t="shared" si="93"/>
        <v>0</v>
      </c>
      <c r="M135" s="72">
        <f t="shared" si="93"/>
        <v>0</v>
      </c>
      <c r="N135" s="68">
        <f t="shared" si="93"/>
        <v>0</v>
      </c>
      <c r="O135" s="68">
        <f t="shared" si="93"/>
        <v>0</v>
      </c>
      <c r="P135" s="68">
        <f t="shared" si="93"/>
        <v>260</v>
      </c>
      <c r="Q135" s="68">
        <f t="shared" si="93"/>
        <v>0</v>
      </c>
      <c r="R135" s="68">
        <f t="shared" si="93"/>
        <v>0</v>
      </c>
      <c r="S135" s="68">
        <f t="shared" si="93"/>
        <v>0</v>
      </c>
      <c r="T135" s="68">
        <f t="shared" si="93"/>
        <v>0</v>
      </c>
      <c r="U135" s="68">
        <f t="shared" si="93"/>
        <v>0</v>
      </c>
      <c r="V135" s="68">
        <f t="shared" si="93"/>
        <v>260</v>
      </c>
      <c r="W135" s="68">
        <f t="shared" si="93"/>
        <v>250</v>
      </c>
      <c r="X135" s="68">
        <f t="shared" si="93"/>
        <v>0</v>
      </c>
      <c r="Y135" s="68">
        <f t="shared" si="93"/>
        <v>10</v>
      </c>
      <c r="Z135" s="68">
        <f t="shared" si="93"/>
        <v>0</v>
      </c>
      <c r="AA135" s="68"/>
      <c r="AB135" s="68"/>
      <c r="AC135" s="68"/>
      <c r="AD135" s="68"/>
      <c r="AE135" s="68"/>
      <c r="AF135" s="68">
        <f>SUM(AF136:AF137)</f>
        <v>220</v>
      </c>
      <c r="AG135" s="68">
        <f>SUM(AG136:AG137)</f>
        <v>220</v>
      </c>
      <c r="AH135" s="81"/>
      <c r="AI135" s="81"/>
      <c r="AJ135" s="84"/>
    </row>
    <row r="136" s="45" customFormat="1" ht="24" customHeight="1" spans="1:36">
      <c r="A136" s="38">
        <v>1</v>
      </c>
      <c r="B136" s="38" t="s">
        <v>374</v>
      </c>
      <c r="C136" s="38" t="s">
        <v>375</v>
      </c>
      <c r="D136" s="38" t="s">
        <v>70</v>
      </c>
      <c r="E136" s="69"/>
      <c r="F136" s="69">
        <v>1</v>
      </c>
      <c r="G136" s="69"/>
      <c r="H136" s="69"/>
      <c r="I136" s="69"/>
      <c r="J136" s="69"/>
      <c r="K136" s="69"/>
      <c r="L136" s="38"/>
      <c r="M136" s="73" t="s">
        <v>376</v>
      </c>
      <c r="N136" s="69"/>
      <c r="O136" s="69"/>
      <c r="P136" s="38">
        <v>130</v>
      </c>
      <c r="Q136" s="69"/>
      <c r="R136" s="69"/>
      <c r="S136" s="69"/>
      <c r="T136" s="69"/>
      <c r="U136" s="69"/>
      <c r="V136" s="38">
        <f t="shared" si="92"/>
        <v>130</v>
      </c>
      <c r="W136" s="38">
        <v>125</v>
      </c>
      <c r="X136" s="38"/>
      <c r="Y136" s="38">
        <v>5</v>
      </c>
      <c r="Z136" s="38"/>
      <c r="AA136" s="69"/>
      <c r="AB136" s="69"/>
      <c r="AC136" s="69"/>
      <c r="AD136" s="69"/>
      <c r="AE136" s="38">
        <f>INT(IF(V136&lt;[1]参数!$F$9,V136*[1]参数!$F$10,[1]参数!$F$9*[1]参数!$F$10+(V136-[1]参数!$F$9)*[1]参数!$G$10))</f>
        <v>110</v>
      </c>
      <c r="AF136" s="38">
        <f t="shared" si="90"/>
        <v>110</v>
      </c>
      <c r="AG136" s="38">
        <f>ROUND((AF136*$AM$1),0)</f>
        <v>110</v>
      </c>
      <c r="AH136" s="82">
        <v>45444</v>
      </c>
      <c r="AI136" s="82">
        <v>45536</v>
      </c>
      <c r="AJ136" s="83" t="s">
        <v>72</v>
      </c>
    </row>
    <row r="137" s="45" customFormat="1" ht="21" customHeight="1" spans="1:36">
      <c r="A137" s="38">
        <v>2</v>
      </c>
      <c r="B137" s="38" t="s">
        <v>374</v>
      </c>
      <c r="C137" s="38" t="s">
        <v>377</v>
      </c>
      <c r="D137" s="38" t="s">
        <v>70</v>
      </c>
      <c r="E137" s="69"/>
      <c r="F137" s="69">
        <v>1</v>
      </c>
      <c r="G137" s="69"/>
      <c r="H137" s="69"/>
      <c r="I137" s="69"/>
      <c r="J137" s="69"/>
      <c r="K137" s="69"/>
      <c r="L137" s="38"/>
      <c r="M137" s="73" t="s">
        <v>376</v>
      </c>
      <c r="N137" s="69"/>
      <c r="O137" s="69"/>
      <c r="P137" s="38">
        <v>130</v>
      </c>
      <c r="Q137" s="69"/>
      <c r="R137" s="69"/>
      <c r="S137" s="69"/>
      <c r="T137" s="69"/>
      <c r="U137" s="69"/>
      <c r="V137" s="38">
        <f t="shared" si="92"/>
        <v>130</v>
      </c>
      <c r="W137" s="38">
        <v>125</v>
      </c>
      <c r="X137" s="38"/>
      <c r="Y137" s="38">
        <v>5</v>
      </c>
      <c r="Z137" s="38"/>
      <c r="AA137" s="69"/>
      <c r="AB137" s="69"/>
      <c r="AC137" s="69"/>
      <c r="AD137" s="69"/>
      <c r="AE137" s="38">
        <f>INT(IF(V137&lt;[1]参数!$F$9,V137*[1]参数!$F$10,[1]参数!$F$9*[1]参数!$F$10+(V137-[1]参数!$F$9)*[1]参数!$G$10))</f>
        <v>110</v>
      </c>
      <c r="AF137" s="38">
        <f t="shared" si="90"/>
        <v>110</v>
      </c>
      <c r="AG137" s="38">
        <f>ROUND((AF137*$AM$1),0)</f>
        <v>110</v>
      </c>
      <c r="AH137" s="82">
        <v>45444</v>
      </c>
      <c r="AI137" s="82">
        <v>45536</v>
      </c>
      <c r="AJ137" s="83" t="s">
        <v>72</v>
      </c>
    </row>
    <row r="138" s="45" customFormat="1" ht="21" customHeight="1" spans="1:36">
      <c r="A138" s="68" t="s">
        <v>66</v>
      </c>
      <c r="B138" s="68" t="s">
        <v>378</v>
      </c>
      <c r="C138" s="68">
        <v>3</v>
      </c>
      <c r="D138" s="69"/>
      <c r="E138" s="68">
        <f t="shared" ref="E138:Z138" si="94">SUM(E139:E141)</f>
        <v>0</v>
      </c>
      <c r="F138" s="68">
        <f t="shared" si="94"/>
        <v>2</v>
      </c>
      <c r="G138" s="68">
        <f t="shared" si="94"/>
        <v>0</v>
      </c>
      <c r="H138" s="68">
        <f t="shared" si="94"/>
        <v>1</v>
      </c>
      <c r="I138" s="68">
        <f t="shared" si="94"/>
        <v>0</v>
      </c>
      <c r="J138" s="68">
        <f t="shared" si="94"/>
        <v>0</v>
      </c>
      <c r="K138" s="68">
        <f t="shared" si="94"/>
        <v>4050</v>
      </c>
      <c r="L138" s="68">
        <f t="shared" si="94"/>
        <v>0</v>
      </c>
      <c r="M138" s="72">
        <f t="shared" si="94"/>
        <v>0</v>
      </c>
      <c r="N138" s="68">
        <f t="shared" si="94"/>
        <v>3156</v>
      </c>
      <c r="O138" s="68">
        <f t="shared" si="94"/>
        <v>120</v>
      </c>
      <c r="P138" s="68">
        <f t="shared" si="94"/>
        <v>778</v>
      </c>
      <c r="Q138" s="68">
        <f t="shared" si="94"/>
        <v>3156</v>
      </c>
      <c r="R138" s="68">
        <f t="shared" si="94"/>
        <v>9</v>
      </c>
      <c r="S138" s="68">
        <f t="shared" si="94"/>
        <v>270</v>
      </c>
      <c r="T138" s="68">
        <f t="shared" si="94"/>
        <v>0</v>
      </c>
      <c r="U138" s="68">
        <f t="shared" si="94"/>
        <v>0</v>
      </c>
      <c r="V138" s="68">
        <f t="shared" si="94"/>
        <v>898</v>
      </c>
      <c r="W138" s="68">
        <f t="shared" si="94"/>
        <v>545</v>
      </c>
      <c r="X138" s="68">
        <f t="shared" si="94"/>
        <v>0</v>
      </c>
      <c r="Y138" s="68">
        <f t="shared" si="94"/>
        <v>353</v>
      </c>
      <c r="Z138" s="68">
        <f t="shared" si="94"/>
        <v>0</v>
      </c>
      <c r="AA138" s="68"/>
      <c r="AB138" s="68"/>
      <c r="AC138" s="68"/>
      <c r="AD138" s="68"/>
      <c r="AE138" s="68"/>
      <c r="AF138" s="68">
        <f>SUM(AF139:AF141)</f>
        <v>545</v>
      </c>
      <c r="AG138" s="68">
        <f>SUM(AG139:AG141)</f>
        <v>545</v>
      </c>
      <c r="AH138" s="81"/>
      <c r="AI138" s="81"/>
      <c r="AJ138" s="84"/>
    </row>
    <row r="139" s="45" customFormat="1" ht="21" customHeight="1" spans="1:36">
      <c r="A139" s="38">
        <v>1</v>
      </c>
      <c r="B139" s="38" t="s">
        <v>379</v>
      </c>
      <c r="C139" s="38" t="s">
        <v>380</v>
      </c>
      <c r="D139" s="38" t="s">
        <v>70</v>
      </c>
      <c r="E139" s="69"/>
      <c r="F139" s="69">
        <v>1</v>
      </c>
      <c r="G139" s="69"/>
      <c r="H139" s="69"/>
      <c r="I139" s="69"/>
      <c r="J139" s="69"/>
      <c r="K139" s="69"/>
      <c r="L139" s="38"/>
      <c r="M139" s="73" t="s">
        <v>381</v>
      </c>
      <c r="N139" s="69"/>
      <c r="O139" s="69"/>
      <c r="P139" s="38">
        <v>258</v>
      </c>
      <c r="Q139" s="69"/>
      <c r="R139" s="69"/>
      <c r="S139" s="69"/>
      <c r="T139" s="69"/>
      <c r="U139" s="69"/>
      <c r="V139" s="38">
        <v>258</v>
      </c>
      <c r="W139" s="38">
        <v>155</v>
      </c>
      <c r="X139" s="38"/>
      <c r="Y139" s="38">
        <v>103</v>
      </c>
      <c r="Z139" s="38"/>
      <c r="AA139" s="69"/>
      <c r="AB139" s="69"/>
      <c r="AC139" s="69"/>
      <c r="AD139" s="69"/>
      <c r="AE139" s="38">
        <f>INT(IF(V139&lt;[1]参数!$F$9,V139*[1]参数!$F$10,[1]参数!$F$9*[1]参数!$F$10+(V139-[1]参数!$F$9)*[1]参数!$G$10))</f>
        <v>184</v>
      </c>
      <c r="AF139" s="38">
        <f t="shared" ref="AF139:AF143" si="95">ROUND(MIN(AE139,W139),0)</f>
        <v>155</v>
      </c>
      <c r="AG139" s="38">
        <f>ROUND((AF139*$AM$1),0)</f>
        <v>155</v>
      </c>
      <c r="AH139" s="82">
        <v>45292</v>
      </c>
      <c r="AI139" s="82">
        <v>45505</v>
      </c>
      <c r="AJ139" s="83" t="s">
        <v>72</v>
      </c>
    </row>
    <row r="140" s="45" customFormat="1" ht="21" customHeight="1" spans="1:36">
      <c r="A140" s="38">
        <v>2</v>
      </c>
      <c r="B140" s="38" t="s">
        <v>382</v>
      </c>
      <c r="C140" s="38" t="s">
        <v>383</v>
      </c>
      <c r="D140" s="38" t="s">
        <v>70</v>
      </c>
      <c r="E140" s="69"/>
      <c r="F140" s="69">
        <v>1</v>
      </c>
      <c r="G140" s="69"/>
      <c r="H140" s="69"/>
      <c r="I140" s="69"/>
      <c r="J140" s="69"/>
      <c r="K140" s="69"/>
      <c r="L140" s="38"/>
      <c r="M140" s="73" t="s">
        <v>381</v>
      </c>
      <c r="N140" s="69"/>
      <c r="O140" s="69"/>
      <c r="P140" s="38">
        <v>240</v>
      </c>
      <c r="Q140" s="69"/>
      <c r="R140" s="69"/>
      <c r="S140" s="69"/>
      <c r="T140" s="69"/>
      <c r="U140" s="69"/>
      <c r="V140" s="38">
        <f t="shared" ref="V140:V146" si="96">SUM(W140:Z140)</f>
        <v>240</v>
      </c>
      <c r="W140" s="38">
        <v>150</v>
      </c>
      <c r="X140" s="38"/>
      <c r="Y140" s="38">
        <v>90</v>
      </c>
      <c r="Z140" s="38"/>
      <c r="AA140" s="69"/>
      <c r="AB140" s="69"/>
      <c r="AC140" s="69"/>
      <c r="AD140" s="69"/>
      <c r="AE140" s="38">
        <f>INT(IF(V140&lt;[1]参数!$F$9,V140*[1]参数!$F$10,[1]参数!$F$9*[1]参数!$F$10+(V140-[1]参数!$F$9)*[1]参数!$G$10))</f>
        <v>180</v>
      </c>
      <c r="AF140" s="38">
        <f t="shared" si="95"/>
        <v>150</v>
      </c>
      <c r="AG140" s="38">
        <f>ROUND((AF140*$AM$1),0)</f>
        <v>150</v>
      </c>
      <c r="AH140" s="82">
        <v>45292</v>
      </c>
      <c r="AI140" s="82">
        <v>45505</v>
      </c>
      <c r="AJ140" s="83" t="s">
        <v>72</v>
      </c>
    </row>
    <row r="141" s="50" customFormat="1" ht="21" customHeight="1" spans="1:36">
      <c r="A141" s="38">
        <v>3</v>
      </c>
      <c r="B141" s="38" t="s">
        <v>382</v>
      </c>
      <c r="C141" s="38" t="s">
        <v>384</v>
      </c>
      <c r="D141" s="38" t="s">
        <v>26</v>
      </c>
      <c r="E141" s="38"/>
      <c r="F141" s="38"/>
      <c r="G141" s="38"/>
      <c r="H141" s="38">
        <v>1</v>
      </c>
      <c r="I141" s="38"/>
      <c r="J141" s="38"/>
      <c r="K141" s="38">
        <v>4050</v>
      </c>
      <c r="L141" s="38"/>
      <c r="M141" s="73" t="s">
        <v>385</v>
      </c>
      <c r="N141" s="38">
        <v>3156</v>
      </c>
      <c r="O141" s="38">
        <v>120</v>
      </c>
      <c r="P141" s="38">
        <v>280</v>
      </c>
      <c r="Q141" s="38">
        <v>3156</v>
      </c>
      <c r="R141" s="38">
        <v>9</v>
      </c>
      <c r="S141" s="38">
        <v>270</v>
      </c>
      <c r="T141" s="38"/>
      <c r="U141" s="38"/>
      <c r="V141" s="38">
        <v>400</v>
      </c>
      <c r="W141" s="38">
        <v>240</v>
      </c>
      <c r="X141" s="38"/>
      <c r="Y141" s="38">
        <v>160</v>
      </c>
      <c r="Z141" s="38"/>
      <c r="AA141" s="38">
        <f>[1]参数!$B$1</f>
        <v>0.28</v>
      </c>
      <c r="AB141" s="38">
        <f>[1]参数!$B$4</f>
        <v>0.4</v>
      </c>
      <c r="AC141" s="38">
        <f>IF(R141&gt;=12,3200,IF(R141&gt;=9,2500,IF(R141&gt;=6,1800,1200)))</f>
        <v>2500</v>
      </c>
      <c r="AD141" s="38">
        <f>ROUND(MIN(N141,AC141),0)</f>
        <v>2500</v>
      </c>
      <c r="AE141" s="38">
        <f>AA141*AB141*AD141</f>
        <v>280</v>
      </c>
      <c r="AF141" s="38">
        <f>ROUND(MIN(W141,AE141),0)</f>
        <v>240</v>
      </c>
      <c r="AG141" s="38">
        <f>ROUND((AF141*$AM$1),0)</f>
        <v>240</v>
      </c>
      <c r="AH141" s="82">
        <v>45292</v>
      </c>
      <c r="AI141" s="82">
        <v>45505</v>
      </c>
      <c r="AJ141" s="83" t="s">
        <v>58</v>
      </c>
    </row>
    <row r="142" s="54" customFormat="1" ht="21" customHeight="1" spans="1:36">
      <c r="A142" s="68" t="s">
        <v>83</v>
      </c>
      <c r="B142" s="97" t="s">
        <v>386</v>
      </c>
      <c r="C142" s="97">
        <v>1</v>
      </c>
      <c r="D142" s="97"/>
      <c r="E142" s="68">
        <f t="shared" ref="E142:Z142" si="97">SUM(E143)</f>
        <v>1</v>
      </c>
      <c r="F142" s="68">
        <f t="shared" si="97"/>
        <v>0</v>
      </c>
      <c r="G142" s="68">
        <f t="shared" si="97"/>
        <v>0</v>
      </c>
      <c r="H142" s="68">
        <f t="shared" si="97"/>
        <v>0</v>
      </c>
      <c r="I142" s="68">
        <f t="shared" si="97"/>
        <v>0</v>
      </c>
      <c r="J142" s="68">
        <f t="shared" si="97"/>
        <v>0</v>
      </c>
      <c r="K142" s="68">
        <f t="shared" si="97"/>
        <v>4356</v>
      </c>
      <c r="L142" s="68">
        <f t="shared" si="97"/>
        <v>0</v>
      </c>
      <c r="M142" s="72">
        <f t="shared" si="97"/>
        <v>0</v>
      </c>
      <c r="N142" s="68">
        <f t="shared" si="97"/>
        <v>2926</v>
      </c>
      <c r="O142" s="68">
        <f t="shared" si="97"/>
        <v>125</v>
      </c>
      <c r="P142" s="68">
        <f t="shared" si="97"/>
        <v>0</v>
      </c>
      <c r="Q142" s="68">
        <f t="shared" si="97"/>
        <v>4356</v>
      </c>
      <c r="R142" s="68">
        <f t="shared" si="97"/>
        <v>15</v>
      </c>
      <c r="S142" s="68">
        <f t="shared" si="97"/>
        <v>0</v>
      </c>
      <c r="T142" s="68">
        <f t="shared" si="97"/>
        <v>15</v>
      </c>
      <c r="U142" s="68">
        <f t="shared" si="97"/>
        <v>620</v>
      </c>
      <c r="V142" s="68">
        <f t="shared" si="97"/>
        <v>125</v>
      </c>
      <c r="W142" s="68">
        <f t="shared" si="97"/>
        <v>110</v>
      </c>
      <c r="X142" s="68">
        <f t="shared" si="97"/>
        <v>0</v>
      </c>
      <c r="Y142" s="68">
        <f t="shared" si="97"/>
        <v>15</v>
      </c>
      <c r="Z142" s="68">
        <f t="shared" si="97"/>
        <v>0</v>
      </c>
      <c r="AA142" s="68"/>
      <c r="AB142" s="68"/>
      <c r="AC142" s="68"/>
      <c r="AD142" s="68"/>
      <c r="AE142" s="68"/>
      <c r="AF142" s="68">
        <f>SUM(AF143)</f>
        <v>110</v>
      </c>
      <c r="AG142" s="68">
        <f>SUM(AG143)</f>
        <v>110</v>
      </c>
      <c r="AH142" s="98"/>
      <c r="AI142" s="98"/>
      <c r="AJ142" s="99"/>
    </row>
    <row r="143" s="54" customFormat="1" ht="21" customHeight="1" spans="1:36">
      <c r="A143" s="38">
        <v>1</v>
      </c>
      <c r="B143" s="93" t="s">
        <v>386</v>
      </c>
      <c r="C143" s="93" t="s">
        <v>387</v>
      </c>
      <c r="D143" s="93" t="s">
        <v>87</v>
      </c>
      <c r="E143" s="38">
        <v>1</v>
      </c>
      <c r="F143" s="93"/>
      <c r="G143" s="93"/>
      <c r="H143" s="93"/>
      <c r="I143" s="93"/>
      <c r="J143" s="93"/>
      <c r="K143" s="93">
        <v>4356</v>
      </c>
      <c r="L143" s="93"/>
      <c r="M143" s="94" t="s">
        <v>196</v>
      </c>
      <c r="N143" s="93">
        <v>2926</v>
      </c>
      <c r="O143" s="93">
        <v>125</v>
      </c>
      <c r="P143" s="93"/>
      <c r="Q143" s="93">
        <v>4356</v>
      </c>
      <c r="R143" s="93">
        <v>15</v>
      </c>
      <c r="S143" s="93"/>
      <c r="T143" s="93">
        <v>15</v>
      </c>
      <c r="U143" s="93">
        <v>620</v>
      </c>
      <c r="V143" s="93">
        <f t="shared" si="96"/>
        <v>125</v>
      </c>
      <c r="W143" s="93">
        <v>110</v>
      </c>
      <c r="X143" s="93">
        <v>0</v>
      </c>
      <c r="Y143" s="93">
        <v>15</v>
      </c>
      <c r="Z143" s="93">
        <v>0</v>
      </c>
      <c r="AA143" s="38">
        <f>[1]参数!$D$1</f>
        <v>0.096</v>
      </c>
      <c r="AB143" s="38"/>
      <c r="AC143" s="38">
        <f>IF((T143)&gt;=12,3200,IF((T143)&gt;=9,2500,IF((T143)&gt;=6,1800,1200)))</f>
        <v>3200</v>
      </c>
      <c r="AD143" s="38">
        <f>ROUND(MIN(AC143,N143),0)</f>
        <v>2926</v>
      </c>
      <c r="AE143" s="38">
        <f>AA143*AD143</f>
        <v>280.896</v>
      </c>
      <c r="AF143" s="38">
        <f t="shared" si="95"/>
        <v>110</v>
      </c>
      <c r="AG143" s="38">
        <f>ROUND((AF143*$AM$1),0)</f>
        <v>110</v>
      </c>
      <c r="AH143" s="82">
        <v>45474</v>
      </c>
      <c r="AI143" s="82">
        <v>45505</v>
      </c>
      <c r="AJ143" s="99" t="s">
        <v>388</v>
      </c>
    </row>
    <row r="144" s="45" customFormat="1" ht="21" customHeight="1" spans="1:36">
      <c r="A144" s="68" t="s">
        <v>93</v>
      </c>
      <c r="B144" s="68" t="s">
        <v>389</v>
      </c>
      <c r="C144" s="68">
        <v>2</v>
      </c>
      <c r="D144" s="69"/>
      <c r="E144" s="68">
        <f t="shared" ref="E144:Z144" si="98">SUM(E145:E146)</f>
        <v>1</v>
      </c>
      <c r="F144" s="68">
        <f t="shared" si="98"/>
        <v>1</v>
      </c>
      <c r="G144" s="68">
        <f t="shared" si="98"/>
        <v>0</v>
      </c>
      <c r="H144" s="68">
        <f t="shared" si="98"/>
        <v>0</v>
      </c>
      <c r="I144" s="68">
        <f t="shared" si="98"/>
        <v>0</v>
      </c>
      <c r="J144" s="68">
        <f t="shared" si="98"/>
        <v>0</v>
      </c>
      <c r="K144" s="68">
        <f t="shared" si="98"/>
        <v>6600</v>
      </c>
      <c r="L144" s="68">
        <f t="shared" si="98"/>
        <v>0</v>
      </c>
      <c r="M144" s="72">
        <f t="shared" si="98"/>
        <v>0</v>
      </c>
      <c r="N144" s="68">
        <f t="shared" si="98"/>
        <v>2000</v>
      </c>
      <c r="O144" s="68">
        <f t="shared" si="98"/>
        <v>135</v>
      </c>
      <c r="P144" s="68">
        <f t="shared" si="98"/>
        <v>115</v>
      </c>
      <c r="Q144" s="68">
        <f t="shared" si="98"/>
        <v>2505</v>
      </c>
      <c r="R144" s="68">
        <f t="shared" si="98"/>
        <v>12</v>
      </c>
      <c r="S144" s="68">
        <f t="shared" si="98"/>
        <v>0</v>
      </c>
      <c r="T144" s="68">
        <f t="shared" si="98"/>
        <v>12</v>
      </c>
      <c r="U144" s="68">
        <f t="shared" si="98"/>
        <v>360</v>
      </c>
      <c r="V144" s="68">
        <f t="shared" si="98"/>
        <v>250</v>
      </c>
      <c r="W144" s="68">
        <f t="shared" si="98"/>
        <v>215</v>
      </c>
      <c r="X144" s="68">
        <f t="shared" si="98"/>
        <v>0</v>
      </c>
      <c r="Y144" s="68">
        <f t="shared" si="98"/>
        <v>0</v>
      </c>
      <c r="Z144" s="68">
        <f t="shared" si="98"/>
        <v>35</v>
      </c>
      <c r="AA144" s="68"/>
      <c r="AB144" s="68"/>
      <c r="AC144" s="68"/>
      <c r="AD144" s="68"/>
      <c r="AE144" s="68"/>
      <c r="AF144" s="68">
        <f>SUM(AF145:AF146)</f>
        <v>215</v>
      </c>
      <c r="AG144" s="68">
        <f>SUM(AG145:AG146)</f>
        <v>215</v>
      </c>
      <c r="AH144" s="81"/>
      <c r="AI144" s="81"/>
      <c r="AJ144" s="84"/>
    </row>
    <row r="145" s="50" customFormat="1" ht="21" customHeight="1" spans="1:36">
      <c r="A145" s="38">
        <v>1</v>
      </c>
      <c r="B145" s="38" t="s">
        <v>390</v>
      </c>
      <c r="C145" s="38" t="s">
        <v>391</v>
      </c>
      <c r="D145" s="38" t="s">
        <v>87</v>
      </c>
      <c r="E145" s="38">
        <v>1</v>
      </c>
      <c r="F145" s="38"/>
      <c r="G145" s="38"/>
      <c r="H145" s="38"/>
      <c r="I145" s="38"/>
      <c r="J145" s="38"/>
      <c r="K145" s="38">
        <v>6600</v>
      </c>
      <c r="L145" s="38"/>
      <c r="M145" s="73" t="s">
        <v>392</v>
      </c>
      <c r="N145" s="38">
        <v>2000</v>
      </c>
      <c r="O145" s="38">
        <v>135</v>
      </c>
      <c r="P145" s="38">
        <v>15</v>
      </c>
      <c r="Q145" s="38">
        <v>2505</v>
      </c>
      <c r="R145" s="38">
        <v>12</v>
      </c>
      <c r="S145" s="38"/>
      <c r="T145" s="38">
        <v>12</v>
      </c>
      <c r="U145" s="38">
        <v>360</v>
      </c>
      <c r="V145" s="38">
        <f t="shared" si="96"/>
        <v>150</v>
      </c>
      <c r="W145" s="38">
        <v>135</v>
      </c>
      <c r="X145" s="38"/>
      <c r="Y145" s="38"/>
      <c r="Z145" s="38">
        <v>15</v>
      </c>
      <c r="AA145" s="38">
        <f>[1]参数!$D$1</f>
        <v>0.096</v>
      </c>
      <c r="AB145" s="38"/>
      <c r="AC145" s="38">
        <f>IF((T145)&gt;=12,3200,IF((T145)&gt;=9,2500,IF((T145)&gt;=6,1800,1200)))</f>
        <v>3200</v>
      </c>
      <c r="AD145" s="38">
        <f>ROUND(MIN(AC145,N145),0)</f>
        <v>2000</v>
      </c>
      <c r="AE145" s="38">
        <f>AA145*AD145</f>
        <v>192</v>
      </c>
      <c r="AF145" s="38">
        <f t="shared" ref="AF145:AF148" si="99">ROUND(MIN(AE145,W145),0)</f>
        <v>135</v>
      </c>
      <c r="AG145" s="38">
        <f>ROUND((AF145*$AM$1),0)</f>
        <v>135</v>
      </c>
      <c r="AH145" s="82">
        <v>45474</v>
      </c>
      <c r="AI145" s="86" t="s">
        <v>133</v>
      </c>
      <c r="AJ145" s="83" t="s">
        <v>372</v>
      </c>
    </row>
    <row r="146" s="45" customFormat="1" ht="21" customHeight="1" spans="1:36">
      <c r="A146" s="38">
        <v>2</v>
      </c>
      <c r="B146" s="93" t="s">
        <v>393</v>
      </c>
      <c r="C146" s="93" t="s">
        <v>394</v>
      </c>
      <c r="D146" s="38" t="s">
        <v>70</v>
      </c>
      <c r="E146" s="69"/>
      <c r="F146" s="69">
        <v>1</v>
      </c>
      <c r="G146" s="69"/>
      <c r="H146" s="69"/>
      <c r="I146" s="69"/>
      <c r="J146" s="69"/>
      <c r="K146" s="69"/>
      <c r="L146" s="93"/>
      <c r="M146" s="94" t="s">
        <v>395</v>
      </c>
      <c r="N146" s="69"/>
      <c r="O146" s="69"/>
      <c r="P146" s="38">
        <v>100</v>
      </c>
      <c r="Q146" s="69"/>
      <c r="R146" s="69"/>
      <c r="S146" s="69"/>
      <c r="T146" s="69"/>
      <c r="U146" s="69"/>
      <c r="V146" s="93">
        <f t="shared" si="96"/>
        <v>100</v>
      </c>
      <c r="W146" s="93">
        <v>80</v>
      </c>
      <c r="X146" s="93"/>
      <c r="Y146" s="93"/>
      <c r="Z146" s="93">
        <v>20</v>
      </c>
      <c r="AA146" s="69"/>
      <c r="AB146" s="69"/>
      <c r="AC146" s="69"/>
      <c r="AD146" s="69"/>
      <c r="AE146" s="38">
        <f>INT(IF(V146&lt;[1]参数!$F$9,V146*[1]参数!$F$10,[1]参数!$F$9*[1]参数!$F$10+(V146-[1]参数!$F$9)*[1]参数!$G$10))</f>
        <v>85</v>
      </c>
      <c r="AF146" s="38">
        <f t="shared" si="99"/>
        <v>80</v>
      </c>
      <c r="AG146" s="38">
        <f>ROUND((AF146*$AM$1),0)</f>
        <v>80</v>
      </c>
      <c r="AH146" s="82">
        <v>45352</v>
      </c>
      <c r="AI146" s="82">
        <v>45444</v>
      </c>
      <c r="AJ146" s="83" t="s">
        <v>72</v>
      </c>
    </row>
    <row r="147" s="45" customFormat="1" ht="21" customHeight="1" spans="1:36">
      <c r="A147" s="68" t="s">
        <v>109</v>
      </c>
      <c r="B147" s="68" t="s">
        <v>396</v>
      </c>
      <c r="C147" s="68">
        <v>1</v>
      </c>
      <c r="D147" s="69"/>
      <c r="E147" s="68">
        <f t="shared" ref="E147:Z147" si="100">SUM(E148)</f>
        <v>0</v>
      </c>
      <c r="F147" s="68">
        <f t="shared" si="100"/>
        <v>1</v>
      </c>
      <c r="G147" s="68">
        <f t="shared" si="100"/>
        <v>0</v>
      </c>
      <c r="H147" s="68">
        <f t="shared" si="100"/>
        <v>0</v>
      </c>
      <c r="I147" s="68">
        <f t="shared" si="100"/>
        <v>0</v>
      </c>
      <c r="J147" s="68">
        <f t="shared" si="100"/>
        <v>0</v>
      </c>
      <c r="K147" s="68">
        <f t="shared" si="100"/>
        <v>0</v>
      </c>
      <c r="L147" s="68">
        <f t="shared" si="100"/>
        <v>0</v>
      </c>
      <c r="M147" s="72">
        <f t="shared" si="100"/>
        <v>0</v>
      </c>
      <c r="N147" s="68">
        <f t="shared" si="100"/>
        <v>0</v>
      </c>
      <c r="O147" s="68">
        <f t="shared" si="100"/>
        <v>0</v>
      </c>
      <c r="P147" s="68">
        <f t="shared" si="100"/>
        <v>384</v>
      </c>
      <c r="Q147" s="68">
        <f t="shared" si="100"/>
        <v>0</v>
      </c>
      <c r="R147" s="68">
        <f t="shared" si="100"/>
        <v>0</v>
      </c>
      <c r="S147" s="68">
        <f t="shared" si="100"/>
        <v>0</v>
      </c>
      <c r="T147" s="68">
        <f t="shared" si="100"/>
        <v>0</v>
      </c>
      <c r="U147" s="68">
        <f t="shared" si="100"/>
        <v>0</v>
      </c>
      <c r="V147" s="68">
        <f t="shared" si="100"/>
        <v>384</v>
      </c>
      <c r="W147" s="68">
        <f t="shared" si="100"/>
        <v>320</v>
      </c>
      <c r="X147" s="68">
        <f t="shared" si="100"/>
        <v>0</v>
      </c>
      <c r="Y147" s="68">
        <f t="shared" si="100"/>
        <v>64</v>
      </c>
      <c r="Z147" s="68">
        <f t="shared" si="100"/>
        <v>0</v>
      </c>
      <c r="AA147" s="68"/>
      <c r="AB147" s="68"/>
      <c r="AC147" s="68"/>
      <c r="AD147" s="68"/>
      <c r="AE147" s="68"/>
      <c r="AF147" s="68">
        <f>SUM(AF148)</f>
        <v>216</v>
      </c>
      <c r="AG147" s="68">
        <f>SUM(AG148)</f>
        <v>216</v>
      </c>
      <c r="AH147" s="98"/>
      <c r="AI147" s="98"/>
      <c r="AJ147" s="84"/>
    </row>
    <row r="148" s="45" customFormat="1" ht="21" customHeight="1" spans="1:36">
      <c r="A148" s="38">
        <v>1</v>
      </c>
      <c r="B148" s="93" t="s">
        <v>397</v>
      </c>
      <c r="C148" s="38" t="s">
        <v>398</v>
      </c>
      <c r="D148" s="38" t="s">
        <v>70</v>
      </c>
      <c r="E148" s="69"/>
      <c r="F148" s="69">
        <v>1</v>
      </c>
      <c r="G148" s="69"/>
      <c r="H148" s="69"/>
      <c r="I148" s="69"/>
      <c r="J148" s="69"/>
      <c r="K148" s="69"/>
      <c r="L148" s="38"/>
      <c r="M148" s="73" t="s">
        <v>399</v>
      </c>
      <c r="N148" s="69"/>
      <c r="O148" s="69"/>
      <c r="P148" s="38">
        <v>384</v>
      </c>
      <c r="Q148" s="69"/>
      <c r="R148" s="69"/>
      <c r="S148" s="69"/>
      <c r="T148" s="69"/>
      <c r="U148" s="69"/>
      <c r="V148" s="38">
        <f t="shared" ref="V148:V153" si="101">SUM(W148:Z148)</f>
        <v>384</v>
      </c>
      <c r="W148" s="38">
        <v>320</v>
      </c>
      <c r="X148" s="38">
        <v>0</v>
      </c>
      <c r="Y148" s="38">
        <v>64</v>
      </c>
      <c r="Z148" s="38">
        <v>0</v>
      </c>
      <c r="AA148" s="69"/>
      <c r="AB148" s="69"/>
      <c r="AC148" s="69"/>
      <c r="AD148" s="69"/>
      <c r="AE148" s="38">
        <f>INT(IF(V148&lt;[1]参数!$F$9,V148*[1]参数!$F$10,[1]参数!$F$9*[1]参数!$F$10+(V148-[1]参数!$F$9)*[1]参数!$G$10))</f>
        <v>216</v>
      </c>
      <c r="AF148" s="38">
        <f t="shared" si="99"/>
        <v>216</v>
      </c>
      <c r="AG148" s="38">
        <f>ROUND((AF148*$AM$1),0)</f>
        <v>216</v>
      </c>
      <c r="AH148" s="82">
        <v>45352</v>
      </c>
      <c r="AI148" s="82">
        <v>45505</v>
      </c>
      <c r="AJ148" s="83" t="s">
        <v>400</v>
      </c>
    </row>
    <row r="149" s="45" customFormat="1" ht="21" customHeight="1" spans="1:36">
      <c r="A149" s="68" t="s">
        <v>118</v>
      </c>
      <c r="B149" s="68" t="s">
        <v>401</v>
      </c>
      <c r="C149" s="68">
        <v>2</v>
      </c>
      <c r="D149" s="69"/>
      <c r="E149" s="68">
        <f t="shared" ref="E149:Z149" si="102">SUM(E150:E151)</f>
        <v>0</v>
      </c>
      <c r="F149" s="68">
        <f t="shared" si="102"/>
        <v>1</v>
      </c>
      <c r="G149" s="68">
        <f t="shared" si="102"/>
        <v>0</v>
      </c>
      <c r="H149" s="68">
        <f t="shared" si="102"/>
        <v>0</v>
      </c>
      <c r="I149" s="68">
        <f t="shared" si="102"/>
        <v>1</v>
      </c>
      <c r="J149" s="68">
        <f t="shared" si="102"/>
        <v>0</v>
      </c>
      <c r="K149" s="68">
        <f t="shared" si="102"/>
        <v>6678.7</v>
      </c>
      <c r="L149" s="68">
        <f t="shared" si="102"/>
        <v>0</v>
      </c>
      <c r="M149" s="72">
        <f t="shared" si="102"/>
        <v>0</v>
      </c>
      <c r="N149" s="68">
        <f t="shared" si="102"/>
        <v>5302</v>
      </c>
      <c r="O149" s="68">
        <f t="shared" si="102"/>
        <v>2900</v>
      </c>
      <c r="P149" s="68">
        <f t="shared" si="102"/>
        <v>677</v>
      </c>
      <c r="Q149" s="68">
        <f t="shared" si="102"/>
        <v>4816</v>
      </c>
      <c r="R149" s="68">
        <f t="shared" si="102"/>
        <v>12</v>
      </c>
      <c r="S149" s="68">
        <f t="shared" si="102"/>
        <v>360</v>
      </c>
      <c r="T149" s="68">
        <f t="shared" si="102"/>
        <v>0</v>
      </c>
      <c r="U149" s="68">
        <f t="shared" si="102"/>
        <v>0</v>
      </c>
      <c r="V149" s="68">
        <f t="shared" si="102"/>
        <v>3577</v>
      </c>
      <c r="W149" s="68">
        <f t="shared" si="102"/>
        <v>2861</v>
      </c>
      <c r="X149" s="68">
        <f t="shared" si="102"/>
        <v>0</v>
      </c>
      <c r="Y149" s="68">
        <f t="shared" si="102"/>
        <v>716</v>
      </c>
      <c r="Z149" s="68">
        <f t="shared" si="102"/>
        <v>0</v>
      </c>
      <c r="AA149" s="68"/>
      <c r="AB149" s="68"/>
      <c r="AC149" s="68"/>
      <c r="AD149" s="68"/>
      <c r="AE149" s="68"/>
      <c r="AF149" s="68">
        <f>SUM(AF150:AF151)</f>
        <v>1037</v>
      </c>
      <c r="AG149" s="68">
        <f>SUM(AG150:AG151)</f>
        <v>1037</v>
      </c>
      <c r="AH149" s="81"/>
      <c r="AI149" s="81"/>
      <c r="AJ149" s="84"/>
    </row>
    <row r="150" s="45" customFormat="1" ht="21" customHeight="1" spans="1:36">
      <c r="A150" s="38">
        <v>1</v>
      </c>
      <c r="B150" s="38" t="s">
        <v>402</v>
      </c>
      <c r="C150" s="38" t="s">
        <v>403</v>
      </c>
      <c r="D150" s="38" t="s">
        <v>70</v>
      </c>
      <c r="E150" s="69"/>
      <c r="F150" s="69">
        <v>1</v>
      </c>
      <c r="G150" s="69"/>
      <c r="H150" s="69"/>
      <c r="I150" s="69"/>
      <c r="J150" s="69"/>
      <c r="K150" s="69"/>
      <c r="L150" s="38"/>
      <c r="M150" s="73" t="s">
        <v>404</v>
      </c>
      <c r="N150" s="69"/>
      <c r="O150" s="69"/>
      <c r="P150" s="38">
        <v>177</v>
      </c>
      <c r="Q150" s="69"/>
      <c r="R150" s="69"/>
      <c r="S150" s="69"/>
      <c r="T150" s="69"/>
      <c r="U150" s="69"/>
      <c r="V150" s="38">
        <f t="shared" si="101"/>
        <v>177</v>
      </c>
      <c r="W150" s="38">
        <v>141</v>
      </c>
      <c r="X150" s="38"/>
      <c r="Y150" s="38">
        <v>36</v>
      </c>
      <c r="Z150" s="38"/>
      <c r="AA150" s="69"/>
      <c r="AB150" s="69"/>
      <c r="AC150" s="69"/>
      <c r="AD150" s="69"/>
      <c r="AE150" s="38">
        <f>INT(IF(V150&lt;[1]参数!$F$9,V150*[1]参数!$F$10,[1]参数!$F$9*[1]参数!$F$10+(V150-[1]参数!$F$9)*[1]参数!$G$10))</f>
        <v>150</v>
      </c>
      <c r="AF150" s="38">
        <f t="shared" ref="AF150:AF153" si="103">ROUND(MIN(AE150,W150),0)</f>
        <v>141</v>
      </c>
      <c r="AG150" s="38">
        <f>ROUND((AF150*$AM$1),0)</f>
        <v>141</v>
      </c>
      <c r="AH150" s="82">
        <v>45444</v>
      </c>
      <c r="AI150" s="95">
        <v>2024.08</v>
      </c>
      <c r="AJ150" s="83" t="s">
        <v>72</v>
      </c>
    </row>
    <row r="151" s="50" customFormat="1" ht="24" customHeight="1" spans="1:36">
      <c r="A151" s="38">
        <v>2</v>
      </c>
      <c r="B151" s="38" t="s">
        <v>405</v>
      </c>
      <c r="C151" s="38" t="s">
        <v>406</v>
      </c>
      <c r="D151" s="38" t="s">
        <v>27</v>
      </c>
      <c r="E151" s="38"/>
      <c r="F151" s="38"/>
      <c r="G151" s="38"/>
      <c r="H151" s="38"/>
      <c r="I151" s="38">
        <v>1</v>
      </c>
      <c r="J151" s="38"/>
      <c r="K151" s="38">
        <v>6678.7</v>
      </c>
      <c r="L151" s="38" t="s">
        <v>407</v>
      </c>
      <c r="M151" s="73" t="s">
        <v>408</v>
      </c>
      <c r="N151" s="38">
        <v>5302</v>
      </c>
      <c r="O151" s="38">
        <v>2900</v>
      </c>
      <c r="P151" s="38">
        <v>500</v>
      </c>
      <c r="Q151" s="38">
        <v>4816</v>
      </c>
      <c r="R151" s="38">
        <v>12</v>
      </c>
      <c r="S151" s="38">
        <v>360</v>
      </c>
      <c r="T151" s="38"/>
      <c r="U151" s="38"/>
      <c r="V151" s="38">
        <v>3400</v>
      </c>
      <c r="W151" s="38">
        <v>2720</v>
      </c>
      <c r="X151" s="38"/>
      <c r="Y151" s="38">
        <v>680</v>
      </c>
      <c r="Z151" s="38"/>
      <c r="AA151" s="38">
        <f>[1]参数!$B$1</f>
        <v>0.28</v>
      </c>
      <c r="AB151" s="38">
        <f>[1]参数!$B$2</f>
        <v>1</v>
      </c>
      <c r="AC151" s="38">
        <f>IF(R151&gt;=12,3200,IF(R151&gt;=9,2500,IF(R151&gt;=6,1800,1200)))</f>
        <v>3200</v>
      </c>
      <c r="AD151" s="38">
        <f>ROUND(MIN(Q151,AC151),0)</f>
        <v>3200</v>
      </c>
      <c r="AE151" s="38">
        <f>AA151*AB151*AD151</f>
        <v>896</v>
      </c>
      <c r="AF151" s="38">
        <f t="shared" si="103"/>
        <v>896</v>
      </c>
      <c r="AG151" s="38">
        <f>ROUND((AF151*$AM$1),0)</f>
        <v>896</v>
      </c>
      <c r="AH151" s="95">
        <v>2024.02</v>
      </c>
      <c r="AI151" s="82">
        <v>45627</v>
      </c>
      <c r="AJ151" s="83" t="s">
        <v>409</v>
      </c>
    </row>
    <row r="152" s="45" customFormat="1" ht="24" customHeight="1" spans="1:36">
      <c r="A152" s="68" t="s">
        <v>123</v>
      </c>
      <c r="B152" s="68" t="s">
        <v>410</v>
      </c>
      <c r="C152" s="68">
        <v>1</v>
      </c>
      <c r="D152" s="69"/>
      <c r="E152" s="68">
        <f t="shared" ref="E152:Z152" si="104">SUM(E153)</f>
        <v>0</v>
      </c>
      <c r="F152" s="68">
        <f t="shared" si="104"/>
        <v>1</v>
      </c>
      <c r="G152" s="68">
        <f t="shared" si="104"/>
        <v>0</v>
      </c>
      <c r="H152" s="68">
        <f t="shared" si="104"/>
        <v>0</v>
      </c>
      <c r="I152" s="68">
        <f t="shared" si="104"/>
        <v>0</v>
      </c>
      <c r="J152" s="68">
        <f t="shared" si="104"/>
        <v>0</v>
      </c>
      <c r="K152" s="68">
        <f t="shared" si="104"/>
        <v>0</v>
      </c>
      <c r="L152" s="68">
        <f t="shared" si="104"/>
        <v>0</v>
      </c>
      <c r="M152" s="72">
        <f t="shared" si="104"/>
        <v>0</v>
      </c>
      <c r="N152" s="68">
        <f t="shared" si="104"/>
        <v>0</v>
      </c>
      <c r="O152" s="68">
        <f t="shared" si="104"/>
        <v>0</v>
      </c>
      <c r="P152" s="68">
        <f t="shared" si="104"/>
        <v>180</v>
      </c>
      <c r="Q152" s="68">
        <f t="shared" si="104"/>
        <v>0</v>
      </c>
      <c r="R152" s="68">
        <f t="shared" si="104"/>
        <v>0</v>
      </c>
      <c r="S152" s="68">
        <f t="shared" si="104"/>
        <v>0</v>
      </c>
      <c r="T152" s="68">
        <f t="shared" si="104"/>
        <v>0</v>
      </c>
      <c r="U152" s="68">
        <f t="shared" si="104"/>
        <v>0</v>
      </c>
      <c r="V152" s="68">
        <f t="shared" si="104"/>
        <v>180</v>
      </c>
      <c r="W152" s="68">
        <f t="shared" si="104"/>
        <v>150</v>
      </c>
      <c r="X152" s="68">
        <f t="shared" si="104"/>
        <v>0</v>
      </c>
      <c r="Y152" s="68">
        <f t="shared" si="104"/>
        <v>30</v>
      </c>
      <c r="Z152" s="68">
        <f t="shared" si="104"/>
        <v>0</v>
      </c>
      <c r="AA152" s="68"/>
      <c r="AB152" s="68"/>
      <c r="AC152" s="68"/>
      <c r="AD152" s="68"/>
      <c r="AE152" s="68"/>
      <c r="AF152" s="68">
        <f>SUM(AF153)</f>
        <v>150</v>
      </c>
      <c r="AG152" s="68">
        <f>SUM(AG153)</f>
        <v>150</v>
      </c>
      <c r="AH152" s="81"/>
      <c r="AI152" s="81"/>
      <c r="AJ152" s="84"/>
    </row>
    <row r="153" s="45" customFormat="1" ht="24" customHeight="1" spans="1:36">
      <c r="A153" s="38">
        <v>1</v>
      </c>
      <c r="B153" s="38" t="s">
        <v>411</v>
      </c>
      <c r="C153" s="38" t="s">
        <v>412</v>
      </c>
      <c r="D153" s="38" t="s">
        <v>70</v>
      </c>
      <c r="E153" s="69"/>
      <c r="F153" s="69">
        <v>1</v>
      </c>
      <c r="G153" s="69"/>
      <c r="H153" s="69"/>
      <c r="I153" s="69"/>
      <c r="J153" s="69"/>
      <c r="K153" s="69"/>
      <c r="L153" s="38"/>
      <c r="M153" s="73" t="s">
        <v>413</v>
      </c>
      <c r="N153" s="69"/>
      <c r="O153" s="69"/>
      <c r="P153" s="38">
        <v>180</v>
      </c>
      <c r="Q153" s="69"/>
      <c r="R153" s="69"/>
      <c r="S153" s="69"/>
      <c r="T153" s="69"/>
      <c r="U153" s="69"/>
      <c r="V153" s="38">
        <f t="shared" si="101"/>
        <v>180</v>
      </c>
      <c r="W153" s="38">
        <v>150</v>
      </c>
      <c r="X153" s="38">
        <v>0</v>
      </c>
      <c r="Y153" s="38">
        <v>30</v>
      </c>
      <c r="Z153" s="38"/>
      <c r="AA153" s="69"/>
      <c r="AB153" s="69"/>
      <c r="AC153" s="69"/>
      <c r="AD153" s="69"/>
      <c r="AE153" s="38">
        <f>INT(IF(V153&lt;[1]参数!$F$9,V153*[1]参数!$F$10,[1]参数!$F$9*[1]参数!$F$10+(V153-[1]参数!$F$9)*[1]参数!$G$10))</f>
        <v>153</v>
      </c>
      <c r="AF153" s="38">
        <f t="shared" si="103"/>
        <v>150</v>
      </c>
      <c r="AG153" s="38">
        <f>ROUND((AF153*$AM$1),0)</f>
        <v>150</v>
      </c>
      <c r="AH153" s="95">
        <v>2024.03</v>
      </c>
      <c r="AI153" s="82">
        <v>45536</v>
      </c>
      <c r="AJ153" s="83" t="s">
        <v>414</v>
      </c>
    </row>
    <row r="154" s="45" customFormat="1" ht="24" customHeight="1" spans="1:36">
      <c r="A154" s="68" t="s">
        <v>134</v>
      </c>
      <c r="B154" s="68" t="s">
        <v>415</v>
      </c>
      <c r="C154" s="97">
        <v>2</v>
      </c>
      <c r="D154" s="69"/>
      <c r="E154" s="68">
        <f t="shared" ref="E154:Z154" si="105">SUM(E155:E156)</f>
        <v>0</v>
      </c>
      <c r="F154" s="68">
        <f t="shared" si="105"/>
        <v>2</v>
      </c>
      <c r="G154" s="68">
        <f t="shared" si="105"/>
        <v>0</v>
      </c>
      <c r="H154" s="68">
        <f t="shared" si="105"/>
        <v>0</v>
      </c>
      <c r="I154" s="68">
        <f t="shared" si="105"/>
        <v>0</v>
      </c>
      <c r="J154" s="68">
        <f t="shared" si="105"/>
        <v>0</v>
      </c>
      <c r="K154" s="68">
        <f t="shared" si="105"/>
        <v>0</v>
      </c>
      <c r="L154" s="68">
        <f t="shared" si="105"/>
        <v>0</v>
      </c>
      <c r="M154" s="72">
        <f t="shared" si="105"/>
        <v>0</v>
      </c>
      <c r="N154" s="68">
        <f t="shared" si="105"/>
        <v>0</v>
      </c>
      <c r="O154" s="68">
        <f t="shared" si="105"/>
        <v>0</v>
      </c>
      <c r="P154" s="68">
        <f t="shared" si="105"/>
        <v>380</v>
      </c>
      <c r="Q154" s="68">
        <f t="shared" si="105"/>
        <v>0</v>
      </c>
      <c r="R154" s="68">
        <f t="shared" si="105"/>
        <v>0</v>
      </c>
      <c r="S154" s="68">
        <f t="shared" si="105"/>
        <v>0</v>
      </c>
      <c r="T154" s="68">
        <f t="shared" si="105"/>
        <v>0</v>
      </c>
      <c r="U154" s="68">
        <f t="shared" si="105"/>
        <v>0</v>
      </c>
      <c r="V154" s="68">
        <f t="shared" si="105"/>
        <v>380</v>
      </c>
      <c r="W154" s="68">
        <f t="shared" si="105"/>
        <v>260</v>
      </c>
      <c r="X154" s="68">
        <f t="shared" si="105"/>
        <v>0</v>
      </c>
      <c r="Y154" s="68">
        <f t="shared" si="105"/>
        <v>0</v>
      </c>
      <c r="Z154" s="68">
        <f t="shared" si="105"/>
        <v>120</v>
      </c>
      <c r="AA154" s="68"/>
      <c r="AB154" s="68"/>
      <c r="AC154" s="68"/>
      <c r="AD154" s="68"/>
      <c r="AE154" s="68"/>
      <c r="AF154" s="68">
        <f>SUM(AF155:AF156)</f>
        <v>260</v>
      </c>
      <c r="AG154" s="68">
        <f>SUM(AG155:AG156)</f>
        <v>260</v>
      </c>
      <c r="AH154" s="98"/>
      <c r="AI154" s="98"/>
      <c r="AJ154" s="100"/>
    </row>
    <row r="155" s="45" customFormat="1" ht="24" customHeight="1" spans="1:36">
      <c r="A155" s="38">
        <v>1</v>
      </c>
      <c r="B155" s="93" t="s">
        <v>416</v>
      </c>
      <c r="C155" s="93" t="s">
        <v>417</v>
      </c>
      <c r="D155" s="38" t="s">
        <v>70</v>
      </c>
      <c r="E155" s="69"/>
      <c r="F155" s="69">
        <v>1</v>
      </c>
      <c r="G155" s="69"/>
      <c r="H155" s="69"/>
      <c r="I155" s="69"/>
      <c r="J155" s="69"/>
      <c r="K155" s="69"/>
      <c r="L155" s="93"/>
      <c r="M155" s="94" t="s">
        <v>418</v>
      </c>
      <c r="N155" s="69"/>
      <c r="O155" s="69"/>
      <c r="P155" s="93">
        <v>140</v>
      </c>
      <c r="Q155" s="69"/>
      <c r="R155" s="69"/>
      <c r="S155" s="69"/>
      <c r="T155" s="69"/>
      <c r="U155" s="69"/>
      <c r="V155" s="93">
        <f t="shared" ref="V155:V158" si="106">SUM(W155:Z155)</f>
        <v>140</v>
      </c>
      <c r="W155" s="93">
        <v>100</v>
      </c>
      <c r="X155" s="93"/>
      <c r="Y155" s="93"/>
      <c r="Z155" s="93">
        <v>40</v>
      </c>
      <c r="AA155" s="69"/>
      <c r="AB155" s="69"/>
      <c r="AC155" s="69"/>
      <c r="AD155" s="69"/>
      <c r="AE155" s="38">
        <f>INT(IF(V155&lt;[1]参数!$F$9,V155*[1]参数!$F$10,[1]参数!$F$9*[1]参数!$F$10+(V155-[1]参数!$F$9)*[1]参数!$G$10))</f>
        <v>119</v>
      </c>
      <c r="AF155" s="38">
        <f t="shared" ref="AF155:AF158" si="107">ROUND(MIN(AE155,W155),0)</f>
        <v>100</v>
      </c>
      <c r="AG155" s="38">
        <f>ROUND((AF155*$AM$1),0)</f>
        <v>100</v>
      </c>
      <c r="AH155" s="101">
        <v>2024.05</v>
      </c>
      <c r="AI155" s="82">
        <v>45536</v>
      </c>
      <c r="AJ155" s="83" t="s">
        <v>72</v>
      </c>
    </row>
    <row r="156" s="45" customFormat="1" ht="24" customHeight="1" spans="1:36">
      <c r="A156" s="38">
        <v>2</v>
      </c>
      <c r="B156" s="93" t="s">
        <v>419</v>
      </c>
      <c r="C156" s="93" t="s">
        <v>420</v>
      </c>
      <c r="D156" s="38" t="s">
        <v>70</v>
      </c>
      <c r="E156" s="69"/>
      <c r="F156" s="69">
        <v>1</v>
      </c>
      <c r="G156" s="69"/>
      <c r="H156" s="69"/>
      <c r="I156" s="69"/>
      <c r="J156" s="69"/>
      <c r="K156" s="69"/>
      <c r="L156" s="93"/>
      <c r="M156" s="94" t="s">
        <v>421</v>
      </c>
      <c r="N156" s="69"/>
      <c r="O156" s="69"/>
      <c r="P156" s="93">
        <v>240</v>
      </c>
      <c r="Q156" s="69"/>
      <c r="R156" s="69"/>
      <c r="S156" s="69"/>
      <c r="T156" s="69"/>
      <c r="U156" s="69"/>
      <c r="V156" s="93">
        <f t="shared" si="106"/>
        <v>240</v>
      </c>
      <c r="W156" s="93">
        <v>160</v>
      </c>
      <c r="X156" s="93"/>
      <c r="Y156" s="93"/>
      <c r="Z156" s="93">
        <v>80</v>
      </c>
      <c r="AA156" s="69"/>
      <c r="AB156" s="69"/>
      <c r="AC156" s="69"/>
      <c r="AD156" s="69"/>
      <c r="AE156" s="38">
        <f>INT(IF(V156&lt;[1]参数!$F$9,V156*[1]参数!$F$10,[1]参数!$F$9*[1]参数!$F$10+(V156-[1]参数!$F$9)*[1]参数!$G$10))</f>
        <v>180</v>
      </c>
      <c r="AF156" s="38">
        <f t="shared" si="107"/>
        <v>160</v>
      </c>
      <c r="AG156" s="38">
        <f>ROUND((AF156*$AM$1),0)</f>
        <v>160</v>
      </c>
      <c r="AH156" s="82">
        <v>45444</v>
      </c>
      <c r="AI156" s="82">
        <v>45536</v>
      </c>
      <c r="AJ156" s="83" t="s">
        <v>72</v>
      </c>
    </row>
    <row r="157" s="45" customFormat="1" ht="24" customHeight="1" spans="1:36">
      <c r="A157" s="68" t="s">
        <v>140</v>
      </c>
      <c r="B157" s="68" t="s">
        <v>422</v>
      </c>
      <c r="C157" s="68">
        <v>2</v>
      </c>
      <c r="D157" s="69"/>
      <c r="E157" s="68">
        <f t="shared" ref="E157:Z157" si="108">SUM(E158:E159)</f>
        <v>0</v>
      </c>
      <c r="F157" s="68">
        <f t="shared" si="108"/>
        <v>1</v>
      </c>
      <c r="G157" s="68">
        <f t="shared" si="108"/>
        <v>0</v>
      </c>
      <c r="H157" s="68">
        <f t="shared" si="108"/>
        <v>1</v>
      </c>
      <c r="I157" s="68">
        <f t="shared" si="108"/>
        <v>0</v>
      </c>
      <c r="J157" s="68">
        <f t="shared" si="108"/>
        <v>0</v>
      </c>
      <c r="K157" s="68">
        <f t="shared" si="108"/>
        <v>5040</v>
      </c>
      <c r="L157" s="68">
        <f t="shared" si="108"/>
        <v>0</v>
      </c>
      <c r="M157" s="72">
        <f t="shared" si="108"/>
        <v>0</v>
      </c>
      <c r="N157" s="68">
        <f t="shared" si="108"/>
        <v>4007.07</v>
      </c>
      <c r="O157" s="68">
        <f t="shared" si="108"/>
        <v>600</v>
      </c>
      <c r="P157" s="68">
        <f t="shared" si="108"/>
        <v>360</v>
      </c>
      <c r="Q157" s="68">
        <f t="shared" si="108"/>
        <v>4007.07</v>
      </c>
      <c r="R157" s="68">
        <f t="shared" si="108"/>
        <v>12</v>
      </c>
      <c r="S157" s="68">
        <f t="shared" si="108"/>
        <v>360</v>
      </c>
      <c r="T157" s="68">
        <f t="shared" si="108"/>
        <v>0</v>
      </c>
      <c r="U157" s="68">
        <f t="shared" si="108"/>
        <v>0</v>
      </c>
      <c r="V157" s="68">
        <f t="shared" si="108"/>
        <v>960</v>
      </c>
      <c r="W157" s="68">
        <f t="shared" si="108"/>
        <v>665</v>
      </c>
      <c r="X157" s="68">
        <f t="shared" si="108"/>
        <v>0</v>
      </c>
      <c r="Y157" s="68">
        <f t="shared" si="108"/>
        <v>295</v>
      </c>
      <c r="Z157" s="68">
        <f t="shared" si="108"/>
        <v>0</v>
      </c>
      <c r="AA157" s="68"/>
      <c r="AB157" s="68"/>
      <c r="AC157" s="68"/>
      <c r="AD157" s="68"/>
      <c r="AE157" s="68"/>
      <c r="AF157" s="68">
        <f>SUM(AF158:AF159)</f>
        <v>568</v>
      </c>
      <c r="AG157" s="68">
        <f>SUM(AG158:AG159)</f>
        <v>568</v>
      </c>
      <c r="AH157" s="81"/>
      <c r="AI157" s="81"/>
      <c r="AJ157" s="84"/>
    </row>
    <row r="158" s="45" customFormat="1" ht="24" customHeight="1" spans="1:36">
      <c r="A158" s="38">
        <v>1</v>
      </c>
      <c r="B158" s="38" t="s">
        <v>422</v>
      </c>
      <c r="C158" s="38" t="s">
        <v>423</v>
      </c>
      <c r="D158" s="38" t="s">
        <v>70</v>
      </c>
      <c r="E158" s="69"/>
      <c r="F158" s="69">
        <v>1</v>
      </c>
      <c r="G158" s="69"/>
      <c r="H158" s="69"/>
      <c r="I158" s="69"/>
      <c r="J158" s="69"/>
      <c r="K158" s="69"/>
      <c r="L158" s="38"/>
      <c r="M158" s="73" t="s">
        <v>144</v>
      </c>
      <c r="N158" s="69"/>
      <c r="O158" s="69"/>
      <c r="P158" s="38">
        <v>360</v>
      </c>
      <c r="Q158" s="69"/>
      <c r="R158" s="69"/>
      <c r="S158" s="69"/>
      <c r="T158" s="69"/>
      <c r="U158" s="69"/>
      <c r="V158" s="38">
        <f t="shared" si="106"/>
        <v>360</v>
      </c>
      <c r="W158" s="38">
        <v>260</v>
      </c>
      <c r="X158" s="38"/>
      <c r="Y158" s="38">
        <v>100</v>
      </c>
      <c r="Z158" s="38"/>
      <c r="AA158" s="69"/>
      <c r="AB158" s="69"/>
      <c r="AC158" s="69"/>
      <c r="AD158" s="69"/>
      <c r="AE158" s="38">
        <f>INT(IF(V158&lt;[1]参数!$F$9,V158*[1]参数!$F$10,[1]参数!$F$9*[1]参数!$F$10+(V158-[1]参数!$F$9)*[1]参数!$G$10))</f>
        <v>210</v>
      </c>
      <c r="AF158" s="38">
        <f t="shared" si="107"/>
        <v>210</v>
      </c>
      <c r="AG158" s="38">
        <f>ROUND((AF158*$AM$1),0)</f>
        <v>210</v>
      </c>
      <c r="AH158" s="82">
        <v>45474</v>
      </c>
      <c r="AI158" s="82">
        <v>45627</v>
      </c>
      <c r="AJ158" s="83" t="s">
        <v>72</v>
      </c>
    </row>
    <row r="159" s="50" customFormat="1" ht="24" customHeight="1" spans="1:36">
      <c r="A159" s="38">
        <v>2</v>
      </c>
      <c r="B159" s="38" t="s">
        <v>422</v>
      </c>
      <c r="C159" s="38" t="s">
        <v>424</v>
      </c>
      <c r="D159" s="38" t="s">
        <v>26</v>
      </c>
      <c r="E159" s="38"/>
      <c r="F159" s="38"/>
      <c r="G159" s="38"/>
      <c r="H159" s="38">
        <v>1</v>
      </c>
      <c r="I159" s="38"/>
      <c r="J159" s="38"/>
      <c r="K159" s="38">
        <v>5040</v>
      </c>
      <c r="L159" s="38"/>
      <c r="M159" s="73" t="s">
        <v>425</v>
      </c>
      <c r="N159" s="38">
        <v>4007.07</v>
      </c>
      <c r="O159" s="38">
        <v>600</v>
      </c>
      <c r="P159" s="38"/>
      <c r="Q159" s="38">
        <v>4007.07</v>
      </c>
      <c r="R159" s="38">
        <v>12</v>
      </c>
      <c r="S159" s="38">
        <v>360</v>
      </c>
      <c r="T159" s="38"/>
      <c r="U159" s="38"/>
      <c r="V159" s="38">
        <v>600</v>
      </c>
      <c r="W159" s="38">
        <v>405</v>
      </c>
      <c r="X159" s="93"/>
      <c r="Y159" s="93">
        <v>195</v>
      </c>
      <c r="Z159" s="93"/>
      <c r="AA159" s="38">
        <f>[1]参数!$B$1</f>
        <v>0.28</v>
      </c>
      <c r="AB159" s="38">
        <f>[1]参数!$B$4</f>
        <v>0.4</v>
      </c>
      <c r="AC159" s="38">
        <f>IF(R159&gt;=12,3200,IF(R159&gt;=9,2500,IF(R159&gt;=6,1800,1200)))</f>
        <v>3200</v>
      </c>
      <c r="AD159" s="38">
        <f>ROUND(MIN(N159,AC159),0)</f>
        <v>3200</v>
      </c>
      <c r="AE159" s="38">
        <f>AA159*AB159*AD159</f>
        <v>358.4</v>
      </c>
      <c r="AF159" s="38">
        <f>ROUND(MIN(W159,AE159),0)</f>
        <v>358</v>
      </c>
      <c r="AG159" s="38">
        <f>ROUND((AF159*$AM$1),0)</f>
        <v>358</v>
      </c>
      <c r="AH159" s="82">
        <v>45474</v>
      </c>
      <c r="AI159" s="82">
        <v>45627</v>
      </c>
      <c r="AJ159" s="99" t="s">
        <v>58</v>
      </c>
    </row>
    <row r="160" s="45" customFormat="1" ht="33" customHeight="1" spans="1:36">
      <c r="A160" s="68" t="s">
        <v>147</v>
      </c>
      <c r="B160" s="68" t="s">
        <v>426</v>
      </c>
      <c r="C160" s="68">
        <v>1</v>
      </c>
      <c r="D160" s="69"/>
      <c r="E160" s="68">
        <f t="shared" ref="E160:Z160" si="109">SUM(E161)</f>
        <v>0</v>
      </c>
      <c r="F160" s="68">
        <f t="shared" si="109"/>
        <v>1</v>
      </c>
      <c r="G160" s="68">
        <f t="shared" si="109"/>
        <v>0</v>
      </c>
      <c r="H160" s="68">
        <f t="shared" si="109"/>
        <v>0</v>
      </c>
      <c r="I160" s="68">
        <f t="shared" si="109"/>
        <v>0</v>
      </c>
      <c r="J160" s="68">
        <f t="shared" si="109"/>
        <v>0</v>
      </c>
      <c r="K160" s="68">
        <f t="shared" si="109"/>
        <v>0</v>
      </c>
      <c r="L160" s="68">
        <f t="shared" si="109"/>
        <v>0</v>
      </c>
      <c r="M160" s="72">
        <f t="shared" si="109"/>
        <v>0</v>
      </c>
      <c r="N160" s="68">
        <f t="shared" si="109"/>
        <v>0</v>
      </c>
      <c r="O160" s="68">
        <f t="shared" si="109"/>
        <v>0</v>
      </c>
      <c r="P160" s="68">
        <f t="shared" si="109"/>
        <v>540.68</v>
      </c>
      <c r="Q160" s="68">
        <f t="shared" si="109"/>
        <v>0</v>
      </c>
      <c r="R160" s="68">
        <f t="shared" si="109"/>
        <v>0</v>
      </c>
      <c r="S160" s="68">
        <f t="shared" si="109"/>
        <v>0</v>
      </c>
      <c r="T160" s="68">
        <f t="shared" si="109"/>
        <v>0</v>
      </c>
      <c r="U160" s="68">
        <f t="shared" si="109"/>
        <v>0</v>
      </c>
      <c r="V160" s="68">
        <f t="shared" si="109"/>
        <v>540.68</v>
      </c>
      <c r="W160" s="68">
        <f t="shared" si="109"/>
        <v>432.54</v>
      </c>
      <c r="X160" s="68">
        <f t="shared" si="109"/>
        <v>0</v>
      </c>
      <c r="Y160" s="68">
        <f t="shared" si="109"/>
        <v>108.14</v>
      </c>
      <c r="Z160" s="68">
        <f t="shared" si="109"/>
        <v>0</v>
      </c>
      <c r="AA160" s="68"/>
      <c r="AB160" s="68"/>
      <c r="AC160" s="68"/>
      <c r="AD160" s="68"/>
      <c r="AE160" s="68"/>
      <c r="AF160" s="68">
        <f>SUM(AF161)</f>
        <v>255</v>
      </c>
      <c r="AG160" s="68">
        <f>SUM(AG161)</f>
        <v>255</v>
      </c>
      <c r="AH160" s="81"/>
      <c r="AI160" s="81"/>
      <c r="AJ160" s="84"/>
    </row>
    <row r="161" s="45" customFormat="1" ht="32" customHeight="1" spans="1:36">
      <c r="A161" s="38">
        <v>1</v>
      </c>
      <c r="B161" s="38" t="s">
        <v>427</v>
      </c>
      <c r="C161" s="38" t="s">
        <v>428</v>
      </c>
      <c r="D161" s="38" t="s">
        <v>70</v>
      </c>
      <c r="E161" s="69"/>
      <c r="F161" s="69">
        <v>1</v>
      </c>
      <c r="G161" s="69"/>
      <c r="H161" s="69"/>
      <c r="I161" s="69"/>
      <c r="J161" s="69"/>
      <c r="K161" s="69"/>
      <c r="L161" s="38"/>
      <c r="M161" s="73" t="s">
        <v>429</v>
      </c>
      <c r="N161" s="69"/>
      <c r="O161" s="69"/>
      <c r="P161" s="38">
        <v>540.68</v>
      </c>
      <c r="Q161" s="69"/>
      <c r="R161" s="69"/>
      <c r="S161" s="69"/>
      <c r="T161" s="69"/>
      <c r="U161" s="69"/>
      <c r="V161" s="38">
        <f>SUM(W161:Z161)</f>
        <v>540.68</v>
      </c>
      <c r="W161" s="38">
        <v>432.54</v>
      </c>
      <c r="X161" s="38"/>
      <c r="Y161" s="38">
        <v>108.14</v>
      </c>
      <c r="Z161" s="38"/>
      <c r="AA161" s="69"/>
      <c r="AB161" s="69"/>
      <c r="AC161" s="69"/>
      <c r="AD161" s="69"/>
      <c r="AE161" s="38">
        <f>INT(IF(V161&lt;[1]参数!$F$9,V161*[1]参数!$F$10,[1]参数!$F$9*[1]参数!$F$10+(V161-[1]参数!$F$9)*[1]参数!$G$10))</f>
        <v>255</v>
      </c>
      <c r="AF161" s="38">
        <f>ROUND(MIN(AE161,W161),0)</f>
        <v>255</v>
      </c>
      <c r="AG161" s="38">
        <f>ROUND((AF161*$AM$1),0)</f>
        <v>255</v>
      </c>
      <c r="AH161" s="95">
        <v>2024.03</v>
      </c>
      <c r="AI161" s="82">
        <v>45536</v>
      </c>
      <c r="AJ161" s="83" t="s">
        <v>430</v>
      </c>
    </row>
    <row r="162" s="45" customFormat="1" ht="30" customHeight="1" spans="1:36">
      <c r="A162" s="68" t="s">
        <v>170</v>
      </c>
      <c r="B162" s="68" t="s">
        <v>431</v>
      </c>
      <c r="C162" s="68">
        <v>2</v>
      </c>
      <c r="D162" s="69"/>
      <c r="E162" s="68">
        <f t="shared" ref="E162:Z162" si="110">SUM(E163:E164)</f>
        <v>0</v>
      </c>
      <c r="F162" s="68">
        <f t="shared" si="110"/>
        <v>1</v>
      </c>
      <c r="G162" s="68">
        <f t="shared" si="110"/>
        <v>1</v>
      </c>
      <c r="H162" s="68">
        <f t="shared" si="110"/>
        <v>0</v>
      </c>
      <c r="I162" s="68">
        <f t="shared" si="110"/>
        <v>0</v>
      </c>
      <c r="J162" s="68">
        <f t="shared" si="110"/>
        <v>0</v>
      </c>
      <c r="K162" s="68">
        <f t="shared" si="110"/>
        <v>2548</v>
      </c>
      <c r="L162" s="68">
        <f t="shared" si="110"/>
        <v>0</v>
      </c>
      <c r="M162" s="72">
        <f t="shared" si="110"/>
        <v>0</v>
      </c>
      <c r="N162" s="68">
        <f t="shared" si="110"/>
        <v>2500</v>
      </c>
      <c r="O162" s="68">
        <f t="shared" si="110"/>
        <v>1050</v>
      </c>
      <c r="P162" s="68">
        <f t="shared" si="110"/>
        <v>180</v>
      </c>
      <c r="Q162" s="68">
        <f t="shared" si="110"/>
        <v>5100</v>
      </c>
      <c r="R162" s="68">
        <f t="shared" si="110"/>
        <v>15</v>
      </c>
      <c r="S162" s="68">
        <f t="shared" si="110"/>
        <v>180</v>
      </c>
      <c r="T162" s="68">
        <f t="shared" si="110"/>
        <v>6</v>
      </c>
      <c r="U162" s="68">
        <f t="shared" si="110"/>
        <v>180</v>
      </c>
      <c r="V162" s="68">
        <f t="shared" si="110"/>
        <v>1110</v>
      </c>
      <c r="W162" s="68">
        <f t="shared" si="110"/>
        <v>660</v>
      </c>
      <c r="X162" s="68">
        <f t="shared" si="110"/>
        <v>0</v>
      </c>
      <c r="Y162" s="68">
        <f t="shared" si="110"/>
        <v>0</v>
      </c>
      <c r="Z162" s="68">
        <f t="shared" si="110"/>
        <v>450</v>
      </c>
      <c r="AA162" s="68"/>
      <c r="AB162" s="68"/>
      <c r="AC162" s="68"/>
      <c r="AD162" s="68"/>
      <c r="AE162" s="68"/>
      <c r="AF162" s="68">
        <f>SUM(AF163:AF164)</f>
        <v>353</v>
      </c>
      <c r="AG162" s="68">
        <f>SUM(AG163:AG164)</f>
        <v>353</v>
      </c>
      <c r="AH162" s="81"/>
      <c r="AI162" s="81"/>
      <c r="AJ162" s="84"/>
    </row>
    <row r="163" s="45" customFormat="1" ht="24" customHeight="1" spans="1:36">
      <c r="A163" s="38">
        <v>1</v>
      </c>
      <c r="B163" s="38" t="s">
        <v>432</v>
      </c>
      <c r="C163" s="38" t="s">
        <v>433</v>
      </c>
      <c r="D163" s="38" t="s">
        <v>70</v>
      </c>
      <c r="E163" s="69"/>
      <c r="F163" s="69">
        <v>1</v>
      </c>
      <c r="G163" s="69"/>
      <c r="H163" s="69"/>
      <c r="I163" s="69"/>
      <c r="J163" s="69"/>
      <c r="K163" s="69"/>
      <c r="L163" s="38"/>
      <c r="M163" s="73" t="s">
        <v>413</v>
      </c>
      <c r="N163" s="69"/>
      <c r="O163" s="69"/>
      <c r="P163" s="38">
        <v>60</v>
      </c>
      <c r="Q163" s="69"/>
      <c r="R163" s="69"/>
      <c r="S163" s="69"/>
      <c r="T163" s="69"/>
      <c r="U163" s="69"/>
      <c r="V163" s="38">
        <f>SUM(W163:Z163)</f>
        <v>60</v>
      </c>
      <c r="W163" s="38">
        <v>60</v>
      </c>
      <c r="X163" s="38">
        <v>0</v>
      </c>
      <c r="Y163" s="38">
        <v>0</v>
      </c>
      <c r="Z163" s="38">
        <v>0</v>
      </c>
      <c r="AA163" s="69"/>
      <c r="AB163" s="69"/>
      <c r="AC163" s="69"/>
      <c r="AD163" s="69"/>
      <c r="AE163" s="38">
        <f>INT(IF(V163&lt;[1]参数!$F$9,V163*[1]参数!$F$10,[1]参数!$F$9*[1]参数!$F$10+(V163-[1]参数!$F$9)*[1]参数!$G$10))</f>
        <v>51</v>
      </c>
      <c r="AF163" s="38">
        <f t="shared" ref="AF163:AF168" si="111">ROUND(MIN(AE163,W163),0)</f>
        <v>51</v>
      </c>
      <c r="AG163" s="38">
        <f>ROUND((AF163*$AM$1),0)</f>
        <v>51</v>
      </c>
      <c r="AH163" s="82">
        <v>45444</v>
      </c>
      <c r="AI163" s="82">
        <v>45597</v>
      </c>
      <c r="AJ163" s="83" t="s">
        <v>72</v>
      </c>
    </row>
    <row r="164" s="55" customFormat="1" ht="24" customHeight="1" spans="1:38">
      <c r="A164" s="93">
        <v>2</v>
      </c>
      <c r="B164" s="93" t="s">
        <v>434</v>
      </c>
      <c r="C164" s="93" t="s">
        <v>435</v>
      </c>
      <c r="D164" s="93" t="s">
        <v>436</v>
      </c>
      <c r="E164" s="93"/>
      <c r="F164" s="93"/>
      <c r="G164" s="38">
        <v>1</v>
      </c>
      <c r="H164" s="93"/>
      <c r="I164" s="93"/>
      <c r="J164" s="93"/>
      <c r="K164" s="93">
        <v>2548</v>
      </c>
      <c r="L164" s="93" t="s">
        <v>437</v>
      </c>
      <c r="M164" s="94" t="s">
        <v>438</v>
      </c>
      <c r="N164" s="93">
        <v>2500</v>
      </c>
      <c r="O164" s="93">
        <v>1050</v>
      </c>
      <c r="P164" s="93">
        <v>120</v>
      </c>
      <c r="Q164" s="93">
        <v>5100</v>
      </c>
      <c r="R164" s="93">
        <v>15</v>
      </c>
      <c r="S164" s="38">
        <f>U164</f>
        <v>180</v>
      </c>
      <c r="T164" s="93">
        <v>6</v>
      </c>
      <c r="U164" s="93">
        <v>180</v>
      </c>
      <c r="V164" s="93">
        <v>1050</v>
      </c>
      <c r="W164" s="93">
        <v>600</v>
      </c>
      <c r="X164" s="93">
        <v>0</v>
      </c>
      <c r="Y164" s="93">
        <v>0</v>
      </c>
      <c r="Z164" s="93">
        <v>450</v>
      </c>
      <c r="AA164" s="38">
        <f>[1]参数!$B$1</f>
        <v>0.28</v>
      </c>
      <c r="AB164" s="38">
        <f>[1]参数!$B$3</f>
        <v>0.6</v>
      </c>
      <c r="AC164" s="38">
        <f>IF(T164&gt;=12,3200,IF(T164&gt;=9,2500,IF(T164&gt;=6,1800,1200)))</f>
        <v>1800</v>
      </c>
      <c r="AD164" s="38">
        <f>ROUND(MIN(N164,AC164),0)</f>
        <v>1800</v>
      </c>
      <c r="AE164" s="38">
        <f>AA164*AB164*AD164</f>
        <v>302.4</v>
      </c>
      <c r="AF164" s="38">
        <f>ROUND(MIN(W164,AE164),0)</f>
        <v>302</v>
      </c>
      <c r="AG164" s="38">
        <f>ROUND((AF164*$AM$1),0)</f>
        <v>302</v>
      </c>
      <c r="AH164" s="82">
        <v>45444</v>
      </c>
      <c r="AI164" s="101">
        <v>2025.08</v>
      </c>
      <c r="AJ164" s="102" t="s">
        <v>439</v>
      </c>
      <c r="AK164" s="104"/>
      <c r="AL164" s="105"/>
    </row>
    <row r="165" s="45" customFormat="1" ht="24" customHeight="1" spans="1:36">
      <c r="A165" s="38"/>
      <c r="B165" s="68" t="s">
        <v>440</v>
      </c>
      <c r="C165" s="68">
        <f t="shared" ref="C165:AG165" si="112">C166+C171+C174+C178+C180+C184+C186+C189+C192+C195+C198</f>
        <v>24</v>
      </c>
      <c r="D165" s="68">
        <f t="shared" si="112"/>
        <v>0</v>
      </c>
      <c r="E165" s="68">
        <f t="shared" si="112"/>
        <v>7</v>
      </c>
      <c r="F165" s="68">
        <f t="shared" si="112"/>
        <v>13</v>
      </c>
      <c r="G165" s="68">
        <f t="shared" si="112"/>
        <v>0</v>
      </c>
      <c r="H165" s="68">
        <f t="shared" si="112"/>
        <v>1</v>
      </c>
      <c r="I165" s="68">
        <f t="shared" si="112"/>
        <v>3</v>
      </c>
      <c r="J165" s="68">
        <f t="shared" si="112"/>
        <v>0</v>
      </c>
      <c r="K165" s="68">
        <f t="shared" si="112"/>
        <v>48869</v>
      </c>
      <c r="L165" s="68">
        <f t="shared" si="112"/>
        <v>0</v>
      </c>
      <c r="M165" s="72">
        <f t="shared" si="112"/>
        <v>0</v>
      </c>
      <c r="N165" s="68">
        <f t="shared" si="112"/>
        <v>41491</v>
      </c>
      <c r="O165" s="68">
        <f t="shared" si="112"/>
        <v>13543.35</v>
      </c>
      <c r="P165" s="68">
        <f t="shared" si="112"/>
        <v>3753</v>
      </c>
      <c r="Q165" s="68">
        <f t="shared" si="112"/>
        <v>48296.74</v>
      </c>
      <c r="R165" s="68">
        <f t="shared" si="112"/>
        <v>145</v>
      </c>
      <c r="S165" s="68">
        <f t="shared" si="112"/>
        <v>1620</v>
      </c>
      <c r="T165" s="68">
        <f t="shared" si="112"/>
        <v>76</v>
      </c>
      <c r="U165" s="68">
        <f t="shared" si="112"/>
        <v>2280</v>
      </c>
      <c r="V165" s="68">
        <f t="shared" si="112"/>
        <v>17446.35</v>
      </c>
      <c r="W165" s="68">
        <f t="shared" si="112"/>
        <v>10675</v>
      </c>
      <c r="X165" s="68">
        <f t="shared" si="112"/>
        <v>0</v>
      </c>
      <c r="Y165" s="68">
        <f t="shared" si="112"/>
        <v>5851</v>
      </c>
      <c r="Z165" s="68">
        <f t="shared" si="112"/>
        <v>770</v>
      </c>
      <c r="AA165" s="68">
        <f t="shared" si="112"/>
        <v>0</v>
      </c>
      <c r="AB165" s="68">
        <f t="shared" si="112"/>
        <v>0</v>
      </c>
      <c r="AC165" s="68">
        <f t="shared" si="112"/>
        <v>0</v>
      </c>
      <c r="AD165" s="68">
        <f t="shared" si="112"/>
        <v>0</v>
      </c>
      <c r="AE165" s="68">
        <f t="shared" si="112"/>
        <v>0</v>
      </c>
      <c r="AF165" s="68">
        <f t="shared" si="112"/>
        <v>6035</v>
      </c>
      <c r="AG165" s="68">
        <f t="shared" si="112"/>
        <v>6035</v>
      </c>
      <c r="AH165" s="81"/>
      <c r="AI165" s="81"/>
      <c r="AJ165" s="84"/>
    </row>
    <row r="166" s="45" customFormat="1" ht="24" customHeight="1" spans="1:36">
      <c r="A166" s="68" t="s">
        <v>44</v>
      </c>
      <c r="B166" s="68" t="s">
        <v>45</v>
      </c>
      <c r="C166" s="68">
        <v>4</v>
      </c>
      <c r="D166" s="69"/>
      <c r="E166" s="68">
        <f t="shared" ref="E166:Z166" si="113">SUM(E167:E170)</f>
        <v>1</v>
      </c>
      <c r="F166" s="68">
        <f t="shared" si="113"/>
        <v>1</v>
      </c>
      <c r="G166" s="68">
        <f t="shared" si="113"/>
        <v>0</v>
      </c>
      <c r="H166" s="68">
        <f t="shared" si="113"/>
        <v>1</v>
      </c>
      <c r="I166" s="68">
        <f t="shared" si="113"/>
        <v>1</v>
      </c>
      <c r="J166" s="68">
        <f t="shared" si="113"/>
        <v>0</v>
      </c>
      <c r="K166" s="68">
        <f t="shared" si="113"/>
        <v>16153</v>
      </c>
      <c r="L166" s="68">
        <f t="shared" si="113"/>
        <v>0</v>
      </c>
      <c r="M166" s="72">
        <f t="shared" si="113"/>
        <v>0</v>
      </c>
      <c r="N166" s="68">
        <f t="shared" si="113"/>
        <v>14333</v>
      </c>
      <c r="O166" s="68">
        <f t="shared" si="113"/>
        <v>4828.35</v>
      </c>
      <c r="P166" s="68">
        <f t="shared" si="113"/>
        <v>1048</v>
      </c>
      <c r="Q166" s="68">
        <f t="shared" si="113"/>
        <v>14082.74</v>
      </c>
      <c r="R166" s="68">
        <f t="shared" si="113"/>
        <v>45</v>
      </c>
      <c r="S166" s="68">
        <f t="shared" si="113"/>
        <v>900</v>
      </c>
      <c r="T166" s="68">
        <f t="shared" si="113"/>
        <v>15</v>
      </c>
      <c r="U166" s="68">
        <f t="shared" si="113"/>
        <v>450</v>
      </c>
      <c r="V166" s="68">
        <f t="shared" si="113"/>
        <v>5876.35</v>
      </c>
      <c r="W166" s="68">
        <f t="shared" si="113"/>
        <v>1680</v>
      </c>
      <c r="X166" s="68">
        <f t="shared" si="113"/>
        <v>0</v>
      </c>
      <c r="Y166" s="68">
        <f t="shared" si="113"/>
        <v>3426</v>
      </c>
      <c r="Z166" s="68">
        <f t="shared" si="113"/>
        <v>770</v>
      </c>
      <c r="AA166" s="68"/>
      <c r="AB166" s="68"/>
      <c r="AC166" s="68"/>
      <c r="AD166" s="68"/>
      <c r="AE166" s="68"/>
      <c r="AF166" s="68">
        <f>SUM(AF167:AF170)</f>
        <v>1438</v>
      </c>
      <c r="AG166" s="68">
        <f>SUM(AG167:AG170)</f>
        <v>1438</v>
      </c>
      <c r="AH166" s="81"/>
      <c r="AI166" s="81"/>
      <c r="AJ166" s="84"/>
    </row>
    <row r="167" s="50" customFormat="1" ht="24" customHeight="1" spans="1:36">
      <c r="A167" s="38">
        <v>1</v>
      </c>
      <c r="B167" s="38" t="s">
        <v>441</v>
      </c>
      <c r="C167" s="38" t="s">
        <v>442</v>
      </c>
      <c r="D167" s="38" t="s">
        <v>87</v>
      </c>
      <c r="E167" s="38">
        <v>1</v>
      </c>
      <c r="F167" s="38"/>
      <c r="G167" s="38"/>
      <c r="H167" s="38"/>
      <c r="I167" s="38"/>
      <c r="J167" s="38"/>
      <c r="K167" s="38">
        <v>3620</v>
      </c>
      <c r="L167" s="68"/>
      <c r="M167" s="73" t="s">
        <v>443</v>
      </c>
      <c r="N167" s="38">
        <v>4700</v>
      </c>
      <c r="O167" s="38">
        <v>300</v>
      </c>
      <c r="P167" s="38">
        <v>50</v>
      </c>
      <c r="Q167" s="38">
        <v>4700</v>
      </c>
      <c r="R167" s="38">
        <v>15</v>
      </c>
      <c r="S167" s="38"/>
      <c r="T167" s="38">
        <v>15</v>
      </c>
      <c r="U167" s="38">
        <v>450</v>
      </c>
      <c r="V167" s="38">
        <v>350</v>
      </c>
      <c r="W167" s="38">
        <v>280</v>
      </c>
      <c r="X167" s="38"/>
      <c r="Y167" s="38"/>
      <c r="Z167" s="38">
        <v>70</v>
      </c>
      <c r="AA167" s="38">
        <f>[1]参数!$D$1</f>
        <v>0.096</v>
      </c>
      <c r="AB167" s="38"/>
      <c r="AC167" s="38">
        <f>IF((T167)&gt;=12,3200,IF((T167)&gt;=9,2500,IF((T167)&gt;=6,1800,1200)))</f>
        <v>3200</v>
      </c>
      <c r="AD167" s="38">
        <f>ROUND(MIN(AC167,N167),0)</f>
        <v>3200</v>
      </c>
      <c r="AE167" s="38">
        <f>AA167*AD167</f>
        <v>307.2</v>
      </c>
      <c r="AF167" s="38">
        <f t="shared" si="111"/>
        <v>280</v>
      </c>
      <c r="AG167" s="38">
        <f>ROUND((AF167*$AM$1),0)</f>
        <v>280</v>
      </c>
      <c r="AH167" s="82">
        <v>45444</v>
      </c>
      <c r="AI167" s="82">
        <v>45627</v>
      </c>
      <c r="AJ167" s="83" t="s">
        <v>444</v>
      </c>
    </row>
    <row r="168" s="45" customFormat="1" ht="34" customHeight="1" spans="1:36">
      <c r="A168" s="38">
        <v>2</v>
      </c>
      <c r="B168" s="38" t="s">
        <v>445</v>
      </c>
      <c r="C168" s="38" t="s">
        <v>446</v>
      </c>
      <c r="D168" s="38" t="s">
        <v>70</v>
      </c>
      <c r="E168" s="69"/>
      <c r="F168" s="69">
        <v>1</v>
      </c>
      <c r="G168" s="69"/>
      <c r="H168" s="69"/>
      <c r="I168" s="69"/>
      <c r="J168" s="69"/>
      <c r="K168" s="69"/>
      <c r="L168" s="38"/>
      <c r="M168" s="73" t="s">
        <v>447</v>
      </c>
      <c r="N168" s="69"/>
      <c r="O168" s="69"/>
      <c r="P168" s="38">
        <v>500</v>
      </c>
      <c r="Q168" s="69"/>
      <c r="R168" s="69"/>
      <c r="S168" s="69"/>
      <c r="T168" s="69"/>
      <c r="U168" s="69"/>
      <c r="V168" s="38">
        <v>500</v>
      </c>
      <c r="W168" s="38">
        <v>200</v>
      </c>
      <c r="X168" s="38"/>
      <c r="Y168" s="69"/>
      <c r="Z168" s="38">
        <v>300</v>
      </c>
      <c r="AA168" s="69"/>
      <c r="AB168" s="69"/>
      <c r="AC168" s="69"/>
      <c r="AD168" s="69"/>
      <c r="AE168" s="38">
        <f>INT(IF(V168&lt;[1]参数!$F$9,V168*[1]参数!$F$10,[1]参数!$F$9*[1]参数!$F$10+(V168-[1]参数!$F$9)*[1]参数!$G$10))</f>
        <v>245</v>
      </c>
      <c r="AF168" s="38">
        <f t="shared" si="111"/>
        <v>200</v>
      </c>
      <c r="AG168" s="38">
        <f>ROUND((AF168*$AM$1),0)</f>
        <v>200</v>
      </c>
      <c r="AH168" s="82">
        <v>45323</v>
      </c>
      <c r="AI168" s="82">
        <v>45505</v>
      </c>
      <c r="AJ168" s="83" t="s">
        <v>227</v>
      </c>
    </row>
    <row r="169" s="48" customFormat="1" ht="30" customHeight="1" spans="1:36">
      <c r="A169" s="38">
        <v>3</v>
      </c>
      <c r="B169" s="38" t="s">
        <v>445</v>
      </c>
      <c r="C169" s="38" t="s">
        <v>448</v>
      </c>
      <c r="D169" s="38" t="s">
        <v>26</v>
      </c>
      <c r="E169" s="38"/>
      <c r="F169" s="38"/>
      <c r="G169" s="38"/>
      <c r="H169" s="38">
        <v>1</v>
      </c>
      <c r="I169" s="38"/>
      <c r="J169" s="38"/>
      <c r="K169" s="38">
        <v>7000</v>
      </c>
      <c r="L169" s="38"/>
      <c r="M169" s="73" t="s">
        <v>449</v>
      </c>
      <c r="N169" s="38">
        <v>4100</v>
      </c>
      <c r="O169" s="38">
        <v>700</v>
      </c>
      <c r="P169" s="38">
        <v>300</v>
      </c>
      <c r="Q169" s="38">
        <v>4100</v>
      </c>
      <c r="R169" s="38">
        <v>12</v>
      </c>
      <c r="S169" s="38">
        <v>360</v>
      </c>
      <c r="T169" s="38"/>
      <c r="U169" s="38"/>
      <c r="V169" s="38">
        <v>1000</v>
      </c>
      <c r="W169" s="38">
        <v>600</v>
      </c>
      <c r="X169" s="38"/>
      <c r="Y169" s="38"/>
      <c r="Z169" s="38">
        <v>400</v>
      </c>
      <c r="AA169" s="38">
        <f>[1]参数!$B$1</f>
        <v>0.28</v>
      </c>
      <c r="AB169" s="38">
        <f>[1]参数!$B$4</f>
        <v>0.4</v>
      </c>
      <c r="AC169" s="38">
        <f>IF(R169&gt;=12,3200,IF(R169&gt;=9,2500,IF(R169&gt;=6,1800,1200)))</f>
        <v>3200</v>
      </c>
      <c r="AD169" s="38">
        <f>ROUND(MIN(N169,AC169),0)</f>
        <v>3200</v>
      </c>
      <c r="AE169" s="38">
        <f>AA169*AB169*AD169</f>
        <v>358.4</v>
      </c>
      <c r="AF169" s="38">
        <f>ROUND(MIN(W169,AE169),0)</f>
        <v>358</v>
      </c>
      <c r="AG169" s="38">
        <f>ROUND((AF169*$AM$1),0)</f>
        <v>358</v>
      </c>
      <c r="AH169" s="82">
        <v>45444</v>
      </c>
      <c r="AI169" s="82">
        <v>45627</v>
      </c>
      <c r="AJ169" s="83"/>
    </row>
    <row r="170" s="47" customFormat="1" ht="24" customHeight="1" spans="1:36">
      <c r="A170" s="38">
        <v>4</v>
      </c>
      <c r="B170" s="38" t="s">
        <v>445</v>
      </c>
      <c r="C170" s="38" t="s">
        <v>450</v>
      </c>
      <c r="D170" s="38" t="s">
        <v>27</v>
      </c>
      <c r="E170" s="38"/>
      <c r="F170" s="38"/>
      <c r="G170" s="38"/>
      <c r="H170" s="38"/>
      <c r="I170" s="38">
        <v>1</v>
      </c>
      <c r="J170" s="38"/>
      <c r="K170" s="38">
        <v>5533</v>
      </c>
      <c r="L170" s="38" t="s">
        <v>451</v>
      </c>
      <c r="M170" s="73" t="s">
        <v>452</v>
      </c>
      <c r="N170" s="38">
        <v>5533</v>
      </c>
      <c r="O170" s="38">
        <v>3828.35</v>
      </c>
      <c r="P170" s="38">
        <v>198</v>
      </c>
      <c r="Q170" s="38">
        <v>5282.74</v>
      </c>
      <c r="R170" s="38">
        <v>18</v>
      </c>
      <c r="S170" s="38">
        <v>540</v>
      </c>
      <c r="T170" s="38"/>
      <c r="U170" s="38"/>
      <c r="V170" s="38">
        <v>4026.35</v>
      </c>
      <c r="W170" s="38">
        <v>600</v>
      </c>
      <c r="X170" s="38"/>
      <c r="Y170" s="38">
        <v>3426</v>
      </c>
      <c r="Z170" s="38"/>
      <c r="AA170" s="38">
        <f>[1]参数!$B$1</f>
        <v>0.28</v>
      </c>
      <c r="AB170" s="38">
        <f>[1]参数!$B$2</f>
        <v>1</v>
      </c>
      <c r="AC170" s="38">
        <f>IF(R170&gt;=12,3200,IF(R170&gt;=9,2500,IF(R170&gt;=6,1800,1200)))</f>
        <v>3200</v>
      </c>
      <c r="AD170" s="38">
        <f>ROUND(MIN(Q170,AC170),0)</f>
        <v>3200</v>
      </c>
      <c r="AE170" s="38">
        <f>AA170*AB170*AD170</f>
        <v>896</v>
      </c>
      <c r="AF170" s="38">
        <f t="shared" ref="AF170:AF173" si="114">ROUND(MIN(AE170,W170),0)</f>
        <v>600</v>
      </c>
      <c r="AG170" s="38">
        <f>ROUND((AF170*$AM$1),0)</f>
        <v>600</v>
      </c>
      <c r="AH170" s="82">
        <v>45505</v>
      </c>
      <c r="AI170" s="82">
        <v>45627</v>
      </c>
      <c r="AJ170" s="83" t="s">
        <v>453</v>
      </c>
    </row>
    <row r="171" s="45" customFormat="1" ht="24" customHeight="1" spans="1:36">
      <c r="A171" s="68" t="s">
        <v>50</v>
      </c>
      <c r="B171" s="68" t="s">
        <v>441</v>
      </c>
      <c r="C171" s="68">
        <v>2</v>
      </c>
      <c r="D171" s="69"/>
      <c r="E171" s="68">
        <f t="shared" ref="E171:Z171" si="115">SUM(E172:E173)</f>
        <v>1</v>
      </c>
      <c r="F171" s="68">
        <f t="shared" si="115"/>
        <v>1</v>
      </c>
      <c r="G171" s="68">
        <f t="shared" si="115"/>
        <v>0</v>
      </c>
      <c r="H171" s="68">
        <f t="shared" si="115"/>
        <v>0</v>
      </c>
      <c r="I171" s="68">
        <f t="shared" si="115"/>
        <v>0</v>
      </c>
      <c r="J171" s="68">
        <f t="shared" si="115"/>
        <v>0</v>
      </c>
      <c r="K171" s="68">
        <f t="shared" si="115"/>
        <v>4934</v>
      </c>
      <c r="L171" s="68">
        <f t="shared" si="115"/>
        <v>0</v>
      </c>
      <c r="M171" s="72">
        <f t="shared" si="115"/>
        <v>0</v>
      </c>
      <c r="N171" s="68">
        <f t="shared" si="115"/>
        <v>4603</v>
      </c>
      <c r="O171" s="68">
        <f t="shared" si="115"/>
        <v>200</v>
      </c>
      <c r="P171" s="68">
        <f t="shared" si="115"/>
        <v>80</v>
      </c>
      <c r="Q171" s="68">
        <f t="shared" si="115"/>
        <v>4602</v>
      </c>
      <c r="R171" s="68">
        <f t="shared" si="115"/>
        <v>15</v>
      </c>
      <c r="S171" s="68">
        <f t="shared" si="115"/>
        <v>0</v>
      </c>
      <c r="T171" s="68">
        <f t="shared" si="115"/>
        <v>15</v>
      </c>
      <c r="U171" s="68">
        <f t="shared" si="115"/>
        <v>450</v>
      </c>
      <c r="V171" s="68">
        <f t="shared" si="115"/>
        <v>280</v>
      </c>
      <c r="W171" s="68">
        <f t="shared" si="115"/>
        <v>280</v>
      </c>
      <c r="X171" s="68">
        <f t="shared" si="115"/>
        <v>0</v>
      </c>
      <c r="Y171" s="68">
        <f t="shared" si="115"/>
        <v>0</v>
      </c>
      <c r="Z171" s="68">
        <f t="shared" si="115"/>
        <v>0</v>
      </c>
      <c r="AA171" s="68"/>
      <c r="AB171" s="68"/>
      <c r="AC171" s="68"/>
      <c r="AD171" s="68"/>
      <c r="AE171" s="68"/>
      <c r="AF171" s="68">
        <f>SUM(AF172:AF173)</f>
        <v>268</v>
      </c>
      <c r="AG171" s="68">
        <f>SUM(AG172:AG173)</f>
        <v>268</v>
      </c>
      <c r="AH171" s="103"/>
      <c r="AI171" s="103"/>
      <c r="AJ171" s="84"/>
    </row>
    <row r="172" s="50" customFormat="1" ht="24" customHeight="1" spans="1:36">
      <c r="A172" s="38">
        <v>1</v>
      </c>
      <c r="B172" s="38" t="s">
        <v>441</v>
      </c>
      <c r="C172" s="38" t="s">
        <v>454</v>
      </c>
      <c r="D172" s="38" t="s">
        <v>87</v>
      </c>
      <c r="E172" s="38">
        <v>1</v>
      </c>
      <c r="F172" s="38"/>
      <c r="G172" s="38"/>
      <c r="H172" s="38"/>
      <c r="I172" s="38"/>
      <c r="J172" s="38"/>
      <c r="K172" s="38">
        <v>4934</v>
      </c>
      <c r="L172" s="68"/>
      <c r="M172" s="73" t="s">
        <v>455</v>
      </c>
      <c r="N172" s="38">
        <v>4603</v>
      </c>
      <c r="O172" s="38">
        <v>200</v>
      </c>
      <c r="P172" s="38">
        <v>0</v>
      </c>
      <c r="Q172" s="38">
        <v>4602</v>
      </c>
      <c r="R172" s="38">
        <v>15</v>
      </c>
      <c r="S172" s="38"/>
      <c r="T172" s="38">
        <v>15</v>
      </c>
      <c r="U172" s="38">
        <v>450</v>
      </c>
      <c r="V172" s="38">
        <v>200</v>
      </c>
      <c r="W172" s="38">
        <v>200</v>
      </c>
      <c r="X172" s="38"/>
      <c r="Y172" s="38"/>
      <c r="Z172" s="38"/>
      <c r="AA172" s="38">
        <f>[1]参数!$D$1</f>
        <v>0.096</v>
      </c>
      <c r="AB172" s="38"/>
      <c r="AC172" s="38">
        <f>IF((T172)&gt;=12,3200,IF((T172)&gt;=9,2500,IF((T172)&gt;=6,1800,1200)))</f>
        <v>3200</v>
      </c>
      <c r="AD172" s="38">
        <f>ROUND(MIN(AC172,N172),0)</f>
        <v>3200</v>
      </c>
      <c r="AE172" s="38">
        <f>AA172*AD172</f>
        <v>307.2</v>
      </c>
      <c r="AF172" s="38">
        <f t="shared" si="114"/>
        <v>200</v>
      </c>
      <c r="AG172" s="38">
        <f>ROUND((AF172*$AM$1),0)</f>
        <v>200</v>
      </c>
      <c r="AH172" s="82">
        <v>45474</v>
      </c>
      <c r="AI172" s="82">
        <v>45536</v>
      </c>
      <c r="AJ172" s="83" t="s">
        <v>72</v>
      </c>
    </row>
    <row r="173" s="45" customFormat="1" ht="24" customHeight="1" spans="1:36">
      <c r="A173" s="38">
        <v>2</v>
      </c>
      <c r="B173" s="38" t="s">
        <v>441</v>
      </c>
      <c r="C173" s="38" t="s">
        <v>456</v>
      </c>
      <c r="D173" s="38" t="s">
        <v>70</v>
      </c>
      <c r="E173" s="69"/>
      <c r="F173" s="69">
        <v>1</v>
      </c>
      <c r="G173" s="69"/>
      <c r="H173" s="69"/>
      <c r="I173" s="69"/>
      <c r="J173" s="69"/>
      <c r="K173" s="69"/>
      <c r="L173" s="38"/>
      <c r="M173" s="73" t="s">
        <v>457</v>
      </c>
      <c r="N173" s="69"/>
      <c r="O173" s="69"/>
      <c r="P173" s="38">
        <v>80</v>
      </c>
      <c r="Q173" s="69"/>
      <c r="R173" s="69"/>
      <c r="S173" s="69"/>
      <c r="T173" s="69"/>
      <c r="U173" s="69"/>
      <c r="V173" s="38">
        <v>80</v>
      </c>
      <c r="W173" s="38">
        <v>80</v>
      </c>
      <c r="X173" s="38"/>
      <c r="Y173" s="38"/>
      <c r="Z173" s="38"/>
      <c r="AA173" s="69"/>
      <c r="AB173" s="69"/>
      <c r="AC173" s="69"/>
      <c r="AD173" s="69"/>
      <c r="AE173" s="38">
        <f>INT(IF(V173&lt;[1]参数!$F$9,V173*[1]参数!$F$10,[1]参数!$F$9*[1]参数!$F$10+(V173-[1]参数!$F$9)*[1]参数!$G$10))</f>
        <v>68</v>
      </c>
      <c r="AF173" s="38">
        <f t="shared" si="114"/>
        <v>68</v>
      </c>
      <c r="AG173" s="38">
        <f>ROUND((AF173*$AM$1),0)</f>
        <v>68</v>
      </c>
      <c r="AH173" s="82">
        <v>45444</v>
      </c>
      <c r="AI173" s="82">
        <v>45536</v>
      </c>
      <c r="AJ173" s="83" t="s">
        <v>72</v>
      </c>
    </row>
    <row r="174" s="45" customFormat="1" ht="24" customHeight="1" spans="1:36">
      <c r="A174" s="68" t="s">
        <v>59</v>
      </c>
      <c r="B174" s="68" t="s">
        <v>445</v>
      </c>
      <c r="C174" s="68">
        <v>3</v>
      </c>
      <c r="D174" s="69"/>
      <c r="E174" s="68">
        <f t="shared" ref="E174:Z174" si="116">SUM(E175:E177)</f>
        <v>1</v>
      </c>
      <c r="F174" s="68">
        <f t="shared" si="116"/>
        <v>1</v>
      </c>
      <c r="G174" s="68">
        <f t="shared" si="116"/>
        <v>0</v>
      </c>
      <c r="H174" s="68">
        <f t="shared" si="116"/>
        <v>0</v>
      </c>
      <c r="I174" s="68">
        <f t="shared" si="116"/>
        <v>1</v>
      </c>
      <c r="J174" s="68">
        <f t="shared" si="116"/>
        <v>0</v>
      </c>
      <c r="K174" s="68">
        <f t="shared" si="116"/>
        <v>8107</v>
      </c>
      <c r="L174" s="68">
        <f t="shared" si="116"/>
        <v>0</v>
      </c>
      <c r="M174" s="72">
        <f t="shared" si="116"/>
        <v>0</v>
      </c>
      <c r="N174" s="68">
        <f t="shared" si="116"/>
        <v>10136</v>
      </c>
      <c r="O174" s="68">
        <f t="shared" si="116"/>
        <v>3260</v>
      </c>
      <c r="P174" s="68">
        <f t="shared" si="116"/>
        <v>270</v>
      </c>
      <c r="Q174" s="68">
        <f t="shared" si="116"/>
        <v>13456</v>
      </c>
      <c r="R174" s="68">
        <f t="shared" si="116"/>
        <v>37</v>
      </c>
      <c r="S174" s="68">
        <f t="shared" si="116"/>
        <v>360</v>
      </c>
      <c r="T174" s="68">
        <f t="shared" si="116"/>
        <v>16</v>
      </c>
      <c r="U174" s="68">
        <f t="shared" si="116"/>
        <v>480</v>
      </c>
      <c r="V174" s="68">
        <f t="shared" si="116"/>
        <v>3680</v>
      </c>
      <c r="W174" s="68">
        <f t="shared" si="116"/>
        <v>2400</v>
      </c>
      <c r="X174" s="68">
        <f t="shared" si="116"/>
        <v>0</v>
      </c>
      <c r="Y174" s="68">
        <f t="shared" si="116"/>
        <v>1130</v>
      </c>
      <c r="Z174" s="68">
        <f t="shared" si="116"/>
        <v>0</v>
      </c>
      <c r="AA174" s="68"/>
      <c r="AB174" s="68"/>
      <c r="AC174" s="68"/>
      <c r="AD174" s="68"/>
      <c r="AE174" s="68"/>
      <c r="AF174" s="68">
        <f>SUM(AF175:AF177)</f>
        <v>1283</v>
      </c>
      <c r="AG174" s="68">
        <f>SUM(AG175:AG177)</f>
        <v>1283</v>
      </c>
      <c r="AH174" s="81"/>
      <c r="AI174" s="81"/>
      <c r="AJ174" s="84"/>
    </row>
    <row r="175" s="50" customFormat="1" ht="24" customHeight="1" spans="1:36">
      <c r="A175" s="38">
        <v>1</v>
      </c>
      <c r="B175" s="38" t="s">
        <v>445</v>
      </c>
      <c r="C175" s="38" t="s">
        <v>458</v>
      </c>
      <c r="D175" s="38" t="s">
        <v>87</v>
      </c>
      <c r="E175" s="38">
        <v>1</v>
      </c>
      <c r="F175" s="38"/>
      <c r="G175" s="38"/>
      <c r="H175" s="38"/>
      <c r="I175" s="38"/>
      <c r="J175" s="38"/>
      <c r="K175" s="38">
        <v>3077</v>
      </c>
      <c r="L175" s="68"/>
      <c r="M175" s="73" t="s">
        <v>459</v>
      </c>
      <c r="N175" s="38">
        <v>4636</v>
      </c>
      <c r="O175" s="38">
        <v>260</v>
      </c>
      <c r="P175" s="38">
        <v>120</v>
      </c>
      <c r="Q175" s="38">
        <v>4636</v>
      </c>
      <c r="R175" s="38">
        <v>16</v>
      </c>
      <c r="S175" s="38"/>
      <c r="T175" s="38">
        <v>16</v>
      </c>
      <c r="U175" s="38">
        <v>480</v>
      </c>
      <c r="V175" s="38">
        <f>W175+Y175</f>
        <v>380</v>
      </c>
      <c r="W175" s="38">
        <v>260</v>
      </c>
      <c r="X175" s="38"/>
      <c r="Y175" s="38">
        <v>120</v>
      </c>
      <c r="Z175" s="38"/>
      <c r="AA175" s="38">
        <f>[1]参数!$D$1</f>
        <v>0.096</v>
      </c>
      <c r="AB175" s="38"/>
      <c r="AC175" s="38">
        <f>IF((T175)&gt;=12,3200,IF((T175)&gt;=9,2500,IF((T175)&gt;=6,1800,1200)))</f>
        <v>3200</v>
      </c>
      <c r="AD175" s="38">
        <f>ROUND(MIN(AC175,N175),0)</f>
        <v>3200</v>
      </c>
      <c r="AE175" s="38">
        <f>AA175*AD175</f>
        <v>307.2</v>
      </c>
      <c r="AF175" s="38">
        <f t="shared" ref="AF175:AF177" si="117">ROUND(MIN(AE175,W175),0)</f>
        <v>260</v>
      </c>
      <c r="AG175" s="38">
        <f>ROUND((AF175*$AM$1),0)</f>
        <v>260</v>
      </c>
      <c r="AH175" s="82">
        <v>45108</v>
      </c>
      <c r="AI175" s="82">
        <v>45505</v>
      </c>
      <c r="AJ175" s="83" t="s">
        <v>460</v>
      </c>
    </row>
    <row r="176" s="45" customFormat="1" ht="26" customHeight="1" spans="1:36">
      <c r="A176" s="38">
        <v>2</v>
      </c>
      <c r="B176" s="38" t="s">
        <v>445</v>
      </c>
      <c r="C176" s="38" t="s">
        <v>461</v>
      </c>
      <c r="D176" s="38" t="s">
        <v>70</v>
      </c>
      <c r="E176" s="69"/>
      <c r="F176" s="69">
        <v>1</v>
      </c>
      <c r="G176" s="69"/>
      <c r="H176" s="69"/>
      <c r="I176" s="69"/>
      <c r="J176" s="69"/>
      <c r="K176" s="69"/>
      <c r="L176" s="38"/>
      <c r="M176" s="73" t="s">
        <v>462</v>
      </c>
      <c r="N176" s="69"/>
      <c r="O176" s="69"/>
      <c r="P176" s="38">
        <v>150</v>
      </c>
      <c r="Q176" s="69"/>
      <c r="R176" s="69"/>
      <c r="S176" s="69"/>
      <c r="T176" s="69"/>
      <c r="U176" s="69"/>
      <c r="V176" s="38">
        <v>150</v>
      </c>
      <c r="W176" s="38">
        <v>140</v>
      </c>
      <c r="X176" s="38"/>
      <c r="Y176" s="38">
        <v>10</v>
      </c>
      <c r="Z176" s="38"/>
      <c r="AA176" s="69"/>
      <c r="AB176" s="69"/>
      <c r="AC176" s="69"/>
      <c r="AD176" s="69"/>
      <c r="AE176" s="38">
        <f>INT(IF(V176&lt;[1]参数!$F$9,V176*[1]参数!$F$10,[1]参数!$F$9*[1]参数!$F$10+(V176-[1]参数!$F$9)*[1]参数!$G$10))</f>
        <v>127</v>
      </c>
      <c r="AF176" s="38">
        <f t="shared" si="117"/>
        <v>127</v>
      </c>
      <c r="AG176" s="38">
        <f>ROUND((AF176*$AM$1),0)</f>
        <v>127</v>
      </c>
      <c r="AH176" s="82">
        <v>45413</v>
      </c>
      <c r="AI176" s="82">
        <v>45627</v>
      </c>
      <c r="AJ176" s="83" t="s">
        <v>72</v>
      </c>
    </row>
    <row r="177" s="47" customFormat="1" ht="26" customHeight="1" spans="1:36">
      <c r="A177" s="38">
        <v>3</v>
      </c>
      <c r="B177" s="38" t="s">
        <v>445</v>
      </c>
      <c r="C177" s="38" t="s">
        <v>463</v>
      </c>
      <c r="D177" s="38" t="s">
        <v>27</v>
      </c>
      <c r="E177" s="38"/>
      <c r="F177" s="38"/>
      <c r="G177" s="38"/>
      <c r="H177" s="38"/>
      <c r="I177" s="38">
        <v>1</v>
      </c>
      <c r="J177" s="38"/>
      <c r="K177" s="38">
        <v>5030</v>
      </c>
      <c r="L177" s="38" t="s">
        <v>464</v>
      </c>
      <c r="M177" s="73" t="s">
        <v>465</v>
      </c>
      <c r="N177" s="38">
        <v>5500</v>
      </c>
      <c r="O177" s="38">
        <v>3000</v>
      </c>
      <c r="P177" s="38">
        <v>0</v>
      </c>
      <c r="Q177" s="38">
        <v>8820</v>
      </c>
      <c r="R177" s="38">
        <v>21</v>
      </c>
      <c r="S177" s="38">
        <v>360</v>
      </c>
      <c r="T177" s="38"/>
      <c r="U177" s="38"/>
      <c r="V177" s="38">
        <v>3150</v>
      </c>
      <c r="W177" s="38">
        <v>2000</v>
      </c>
      <c r="X177" s="38"/>
      <c r="Y177" s="38">
        <v>1000</v>
      </c>
      <c r="Z177" s="38"/>
      <c r="AA177" s="38">
        <f>[1]参数!$B$1</f>
        <v>0.28</v>
      </c>
      <c r="AB177" s="38">
        <f>[1]参数!$B$2</f>
        <v>1</v>
      </c>
      <c r="AC177" s="38">
        <f>IF(R177&gt;=12,3200,IF(R177&gt;=9,2500,IF(R177&gt;=6,1800,1200)))</f>
        <v>3200</v>
      </c>
      <c r="AD177" s="38">
        <f>ROUND(MIN(Q177,AC177),0)</f>
        <v>3200</v>
      </c>
      <c r="AE177" s="38">
        <f>AA177*AB177*AD177</f>
        <v>896</v>
      </c>
      <c r="AF177" s="38">
        <f t="shared" si="117"/>
        <v>896</v>
      </c>
      <c r="AG177" s="38">
        <f>ROUND((AF177*$AM$1),0)</f>
        <v>896</v>
      </c>
      <c r="AH177" s="82">
        <v>45444</v>
      </c>
      <c r="AI177" s="82">
        <v>45992</v>
      </c>
      <c r="AJ177" s="83" t="s">
        <v>466</v>
      </c>
    </row>
    <row r="178" s="45" customFormat="1" ht="26" customHeight="1" spans="1:36">
      <c r="A178" s="68" t="s">
        <v>66</v>
      </c>
      <c r="B178" s="68" t="s">
        <v>467</v>
      </c>
      <c r="C178" s="68">
        <v>1</v>
      </c>
      <c r="D178" s="69"/>
      <c r="E178" s="68">
        <f t="shared" ref="E178:Z178" si="118">SUM(E179)</f>
        <v>0</v>
      </c>
      <c r="F178" s="68">
        <f t="shared" si="118"/>
        <v>1</v>
      </c>
      <c r="G178" s="68">
        <f t="shared" si="118"/>
        <v>0</v>
      </c>
      <c r="H178" s="68">
        <f t="shared" si="118"/>
        <v>0</v>
      </c>
      <c r="I178" s="68">
        <f t="shared" si="118"/>
        <v>0</v>
      </c>
      <c r="J178" s="68">
        <f t="shared" si="118"/>
        <v>0</v>
      </c>
      <c r="K178" s="68">
        <f t="shared" si="118"/>
        <v>0</v>
      </c>
      <c r="L178" s="68">
        <f t="shared" si="118"/>
        <v>0</v>
      </c>
      <c r="M178" s="72">
        <f t="shared" si="118"/>
        <v>0</v>
      </c>
      <c r="N178" s="68">
        <f t="shared" si="118"/>
        <v>0</v>
      </c>
      <c r="O178" s="68">
        <f t="shared" si="118"/>
        <v>0</v>
      </c>
      <c r="P178" s="68">
        <f t="shared" si="118"/>
        <v>425</v>
      </c>
      <c r="Q178" s="68">
        <f t="shared" si="118"/>
        <v>0</v>
      </c>
      <c r="R178" s="68">
        <f t="shared" si="118"/>
        <v>0</v>
      </c>
      <c r="S178" s="68">
        <f t="shared" si="118"/>
        <v>0</v>
      </c>
      <c r="T178" s="68">
        <f t="shared" si="118"/>
        <v>0</v>
      </c>
      <c r="U178" s="68">
        <f t="shared" si="118"/>
        <v>0</v>
      </c>
      <c r="V178" s="68">
        <f t="shared" si="118"/>
        <v>425</v>
      </c>
      <c r="W178" s="68">
        <f t="shared" si="118"/>
        <v>340</v>
      </c>
      <c r="X178" s="68">
        <f t="shared" si="118"/>
        <v>0</v>
      </c>
      <c r="Y178" s="68">
        <f t="shared" si="118"/>
        <v>85</v>
      </c>
      <c r="Z178" s="68">
        <f t="shared" si="118"/>
        <v>0</v>
      </c>
      <c r="AA178" s="68"/>
      <c r="AB178" s="68"/>
      <c r="AC178" s="68"/>
      <c r="AD178" s="68"/>
      <c r="AE178" s="68"/>
      <c r="AF178" s="68">
        <f>SUM(AF179)</f>
        <v>226</v>
      </c>
      <c r="AG178" s="68">
        <f>SUM(AG179)</f>
        <v>226</v>
      </c>
      <c r="AH178" s="81"/>
      <c r="AI178" s="81"/>
      <c r="AJ178" s="84"/>
    </row>
    <row r="179" s="45" customFormat="1" ht="26" customHeight="1" spans="1:36">
      <c r="A179" s="38">
        <v>1</v>
      </c>
      <c r="B179" s="38" t="s">
        <v>467</v>
      </c>
      <c r="C179" s="38" t="s">
        <v>468</v>
      </c>
      <c r="D179" s="38" t="s">
        <v>70</v>
      </c>
      <c r="E179" s="69"/>
      <c r="F179" s="69">
        <v>1</v>
      </c>
      <c r="G179" s="69"/>
      <c r="H179" s="69"/>
      <c r="I179" s="69"/>
      <c r="J179" s="69"/>
      <c r="K179" s="69"/>
      <c r="L179" s="38"/>
      <c r="M179" s="73" t="s">
        <v>469</v>
      </c>
      <c r="N179" s="69"/>
      <c r="O179" s="69"/>
      <c r="P179" s="38">
        <v>425</v>
      </c>
      <c r="Q179" s="69"/>
      <c r="R179" s="69"/>
      <c r="S179" s="69"/>
      <c r="T179" s="69"/>
      <c r="U179" s="69"/>
      <c r="V179" s="38">
        <v>425</v>
      </c>
      <c r="W179" s="38">
        <v>340</v>
      </c>
      <c r="X179" s="38"/>
      <c r="Y179" s="38">
        <v>85</v>
      </c>
      <c r="Z179" s="38"/>
      <c r="AA179" s="69"/>
      <c r="AB179" s="69"/>
      <c r="AC179" s="69"/>
      <c r="AD179" s="69"/>
      <c r="AE179" s="38">
        <f>INT(IF(V179&lt;[1]参数!$F$9,V179*[1]参数!$F$10,[1]参数!$F$9*[1]参数!$F$10+(V179-[1]参数!$F$9)*[1]参数!$G$10))</f>
        <v>226</v>
      </c>
      <c r="AF179" s="38">
        <f t="shared" ref="AF179:AF183" si="119">ROUND(MIN(AE179,W179),0)</f>
        <v>226</v>
      </c>
      <c r="AG179" s="38">
        <f>ROUND((AF179*$AM$1),0)</f>
        <v>226</v>
      </c>
      <c r="AH179" s="82">
        <v>45352</v>
      </c>
      <c r="AI179" s="82">
        <v>45627</v>
      </c>
      <c r="AJ179" s="83" t="s">
        <v>470</v>
      </c>
    </row>
    <row r="180" s="45" customFormat="1" ht="26" customHeight="1" spans="1:36">
      <c r="A180" s="68" t="s">
        <v>83</v>
      </c>
      <c r="B180" s="68" t="s">
        <v>471</v>
      </c>
      <c r="C180" s="68">
        <v>3</v>
      </c>
      <c r="D180" s="69"/>
      <c r="E180" s="68">
        <f t="shared" ref="E180:Z180" si="120">SUM(E181:E183)</f>
        <v>1</v>
      </c>
      <c r="F180" s="68">
        <f t="shared" si="120"/>
        <v>1</v>
      </c>
      <c r="G180" s="68">
        <f t="shared" si="120"/>
        <v>0</v>
      </c>
      <c r="H180" s="68">
        <f t="shared" si="120"/>
        <v>0</v>
      </c>
      <c r="I180" s="68">
        <f t="shared" si="120"/>
        <v>1</v>
      </c>
      <c r="J180" s="68">
        <f t="shared" si="120"/>
        <v>0</v>
      </c>
      <c r="K180" s="68">
        <f t="shared" si="120"/>
        <v>7741</v>
      </c>
      <c r="L180" s="68">
        <f t="shared" si="120"/>
        <v>0</v>
      </c>
      <c r="M180" s="72">
        <f t="shared" si="120"/>
        <v>0</v>
      </c>
      <c r="N180" s="68">
        <f t="shared" si="120"/>
        <v>6300</v>
      </c>
      <c r="O180" s="68">
        <f t="shared" si="120"/>
        <v>4300</v>
      </c>
      <c r="P180" s="68">
        <f t="shared" si="120"/>
        <v>300</v>
      </c>
      <c r="Q180" s="68">
        <f t="shared" si="120"/>
        <v>7084</v>
      </c>
      <c r="R180" s="68">
        <f t="shared" si="120"/>
        <v>21</v>
      </c>
      <c r="S180" s="68">
        <f t="shared" si="120"/>
        <v>360</v>
      </c>
      <c r="T180" s="68">
        <f t="shared" si="120"/>
        <v>3</v>
      </c>
      <c r="U180" s="68">
        <f t="shared" si="120"/>
        <v>90</v>
      </c>
      <c r="V180" s="68">
        <f t="shared" si="120"/>
        <v>4600</v>
      </c>
      <c r="W180" s="68">
        <f t="shared" si="120"/>
        <v>3740</v>
      </c>
      <c r="X180" s="68">
        <f t="shared" si="120"/>
        <v>0</v>
      </c>
      <c r="Y180" s="68">
        <f t="shared" si="120"/>
        <v>860</v>
      </c>
      <c r="Z180" s="68">
        <f t="shared" si="120"/>
        <v>0</v>
      </c>
      <c r="AA180" s="68"/>
      <c r="AB180" s="68"/>
      <c r="AC180" s="68"/>
      <c r="AD180" s="68"/>
      <c r="AE180" s="68"/>
      <c r="AF180" s="68">
        <f>SUM(AF181:AF183)</f>
        <v>1120</v>
      </c>
      <c r="AG180" s="68">
        <f>SUM(AG181:AG183)</f>
        <v>1120</v>
      </c>
      <c r="AH180" s="103"/>
      <c r="AI180" s="103"/>
      <c r="AJ180" s="84"/>
    </row>
    <row r="181" s="50" customFormat="1" ht="26" customHeight="1" spans="1:36">
      <c r="A181" s="38">
        <v>1</v>
      </c>
      <c r="B181" s="38" t="s">
        <v>472</v>
      </c>
      <c r="C181" s="38" t="s">
        <v>473</v>
      </c>
      <c r="D181" s="93" t="s">
        <v>87</v>
      </c>
      <c r="E181" s="38">
        <v>1</v>
      </c>
      <c r="F181" s="38"/>
      <c r="G181" s="38"/>
      <c r="H181" s="38"/>
      <c r="I181" s="38"/>
      <c r="J181" s="38"/>
      <c r="K181" s="38">
        <v>2461</v>
      </c>
      <c r="L181" s="93"/>
      <c r="M181" s="73" t="s">
        <v>474</v>
      </c>
      <c r="N181" s="38">
        <v>300</v>
      </c>
      <c r="O181" s="38">
        <v>300</v>
      </c>
      <c r="P181" s="38"/>
      <c r="Q181" s="38">
        <v>1084</v>
      </c>
      <c r="R181" s="38">
        <v>9</v>
      </c>
      <c r="S181" s="38"/>
      <c r="T181" s="38">
        <v>3</v>
      </c>
      <c r="U181" s="38">
        <v>90</v>
      </c>
      <c r="V181" s="38">
        <v>300</v>
      </c>
      <c r="W181" s="38">
        <v>240</v>
      </c>
      <c r="X181" s="38">
        <v>0</v>
      </c>
      <c r="Y181" s="38">
        <v>60</v>
      </c>
      <c r="Z181" s="38">
        <v>0</v>
      </c>
      <c r="AA181" s="38">
        <f>[1]参数!$D$1</f>
        <v>0.096</v>
      </c>
      <c r="AB181" s="38"/>
      <c r="AC181" s="38">
        <f>IF((T181)&gt;=12,3200,IF((T181)&gt;=9,2500,IF((T181)&gt;=6,1800,1200)))</f>
        <v>1200</v>
      </c>
      <c r="AD181" s="38">
        <f>ROUND(MIN(AC181,N181),0)</f>
        <v>300</v>
      </c>
      <c r="AE181" s="38">
        <f>AA181*AD181</f>
        <v>28.8</v>
      </c>
      <c r="AF181" s="38">
        <f t="shared" si="119"/>
        <v>29</v>
      </c>
      <c r="AG181" s="38">
        <f>ROUND((AF181*$AM$1),0)</f>
        <v>29</v>
      </c>
      <c r="AH181" s="82">
        <v>45444</v>
      </c>
      <c r="AI181" s="82">
        <v>45536</v>
      </c>
      <c r="AJ181" s="83" t="s">
        <v>475</v>
      </c>
    </row>
    <row r="182" s="45" customFormat="1" ht="26" customHeight="1" spans="1:36">
      <c r="A182" s="38">
        <v>2</v>
      </c>
      <c r="B182" s="38" t="s">
        <v>471</v>
      </c>
      <c r="C182" s="38" t="s">
        <v>476</v>
      </c>
      <c r="D182" s="38" t="s">
        <v>70</v>
      </c>
      <c r="E182" s="69"/>
      <c r="F182" s="69">
        <v>1</v>
      </c>
      <c r="G182" s="69"/>
      <c r="H182" s="69"/>
      <c r="I182" s="69"/>
      <c r="J182" s="69"/>
      <c r="K182" s="69"/>
      <c r="L182" s="38"/>
      <c r="M182" s="73" t="s">
        <v>469</v>
      </c>
      <c r="N182" s="69"/>
      <c r="O182" s="69"/>
      <c r="P182" s="38">
        <v>300</v>
      </c>
      <c r="Q182" s="69"/>
      <c r="R182" s="69"/>
      <c r="S182" s="69"/>
      <c r="T182" s="69"/>
      <c r="U182" s="69"/>
      <c r="V182" s="38">
        <v>300</v>
      </c>
      <c r="W182" s="38">
        <v>300</v>
      </c>
      <c r="X182" s="38"/>
      <c r="Y182" s="38"/>
      <c r="Z182" s="38"/>
      <c r="AA182" s="69"/>
      <c r="AB182" s="69"/>
      <c r="AC182" s="69"/>
      <c r="AD182" s="69"/>
      <c r="AE182" s="38">
        <f>INT(IF(V182&lt;[1]参数!$F$9,V182*[1]参数!$F$10,[1]参数!$F$9*[1]参数!$F$10+(V182-[1]参数!$F$9)*[1]参数!$G$10))</f>
        <v>195</v>
      </c>
      <c r="AF182" s="38">
        <f t="shared" si="119"/>
        <v>195</v>
      </c>
      <c r="AG182" s="38">
        <f>ROUND((AF182*$AM$1),0)</f>
        <v>195</v>
      </c>
      <c r="AH182" s="82">
        <v>45536</v>
      </c>
      <c r="AI182" s="82">
        <v>45627</v>
      </c>
      <c r="AJ182" s="83" t="s">
        <v>72</v>
      </c>
    </row>
    <row r="183" s="47" customFormat="1" ht="26" customHeight="1" spans="1:36">
      <c r="A183" s="38">
        <v>3</v>
      </c>
      <c r="B183" s="38" t="s">
        <v>471</v>
      </c>
      <c r="C183" s="38" t="s">
        <v>477</v>
      </c>
      <c r="D183" s="38" t="s">
        <v>27</v>
      </c>
      <c r="E183" s="38"/>
      <c r="F183" s="38"/>
      <c r="G183" s="38"/>
      <c r="H183" s="38"/>
      <c r="I183" s="38">
        <v>1</v>
      </c>
      <c r="J183" s="38"/>
      <c r="K183" s="38">
        <v>5280</v>
      </c>
      <c r="L183" s="38" t="s">
        <v>478</v>
      </c>
      <c r="M183" s="73" t="s">
        <v>479</v>
      </c>
      <c r="N183" s="38">
        <v>6000</v>
      </c>
      <c r="O183" s="38">
        <v>4000</v>
      </c>
      <c r="P183" s="38"/>
      <c r="Q183" s="38">
        <v>6000</v>
      </c>
      <c r="R183" s="38">
        <v>12</v>
      </c>
      <c r="S183" s="38">
        <v>360</v>
      </c>
      <c r="T183" s="38"/>
      <c r="U183" s="38"/>
      <c r="V183" s="38">
        <v>4000</v>
      </c>
      <c r="W183" s="38">
        <v>3200</v>
      </c>
      <c r="X183" s="38"/>
      <c r="Y183" s="38">
        <v>800</v>
      </c>
      <c r="Z183" s="38"/>
      <c r="AA183" s="38">
        <f>[1]参数!$B$1</f>
        <v>0.28</v>
      </c>
      <c r="AB183" s="38">
        <f>[1]参数!$B$2</f>
        <v>1</v>
      </c>
      <c r="AC183" s="38">
        <f>IF(R183&gt;=12,3200,IF(R183&gt;=9,2500,IF(R183&gt;=6,1800,1200)))</f>
        <v>3200</v>
      </c>
      <c r="AD183" s="38">
        <f>ROUND(MIN(Q183,AC183),0)</f>
        <v>3200</v>
      </c>
      <c r="AE183" s="38">
        <f>AA183*AB183*AD183</f>
        <v>896</v>
      </c>
      <c r="AF183" s="38">
        <f t="shared" si="119"/>
        <v>896</v>
      </c>
      <c r="AG183" s="38">
        <f>ROUND((AF183*$AM$1),0)</f>
        <v>896</v>
      </c>
      <c r="AH183" s="82">
        <v>45536</v>
      </c>
      <c r="AI183" s="82">
        <v>46357</v>
      </c>
      <c r="AJ183" s="83" t="s">
        <v>480</v>
      </c>
    </row>
    <row r="184" s="45" customFormat="1" ht="26" customHeight="1" spans="1:36">
      <c r="A184" s="68" t="s">
        <v>93</v>
      </c>
      <c r="B184" s="68" t="s">
        <v>481</v>
      </c>
      <c r="C184" s="68">
        <v>1</v>
      </c>
      <c r="D184" s="69"/>
      <c r="E184" s="68">
        <f t="shared" ref="E184:Z184" si="121">SUM(E185)</f>
        <v>0</v>
      </c>
      <c r="F184" s="68">
        <f t="shared" si="121"/>
        <v>1</v>
      </c>
      <c r="G184" s="68">
        <f t="shared" si="121"/>
        <v>0</v>
      </c>
      <c r="H184" s="68">
        <f t="shared" si="121"/>
        <v>0</v>
      </c>
      <c r="I184" s="68">
        <f t="shared" si="121"/>
        <v>0</v>
      </c>
      <c r="J184" s="68">
        <f t="shared" si="121"/>
        <v>0</v>
      </c>
      <c r="K184" s="68">
        <f t="shared" si="121"/>
        <v>0</v>
      </c>
      <c r="L184" s="68">
        <f t="shared" si="121"/>
        <v>0</v>
      </c>
      <c r="M184" s="72">
        <f t="shared" si="121"/>
        <v>0</v>
      </c>
      <c r="N184" s="68">
        <f t="shared" si="121"/>
        <v>0</v>
      </c>
      <c r="O184" s="68">
        <f t="shared" si="121"/>
        <v>0</v>
      </c>
      <c r="P184" s="68">
        <f t="shared" si="121"/>
        <v>190</v>
      </c>
      <c r="Q184" s="68">
        <f t="shared" si="121"/>
        <v>0</v>
      </c>
      <c r="R184" s="68">
        <f t="shared" si="121"/>
        <v>0</v>
      </c>
      <c r="S184" s="68">
        <f t="shared" si="121"/>
        <v>0</v>
      </c>
      <c r="T184" s="68">
        <f t="shared" si="121"/>
        <v>0</v>
      </c>
      <c r="U184" s="68">
        <f t="shared" si="121"/>
        <v>0</v>
      </c>
      <c r="V184" s="68">
        <f t="shared" si="121"/>
        <v>190</v>
      </c>
      <c r="W184" s="68">
        <f t="shared" si="121"/>
        <v>190</v>
      </c>
      <c r="X184" s="68">
        <f t="shared" si="121"/>
        <v>0</v>
      </c>
      <c r="Y184" s="68">
        <f t="shared" si="121"/>
        <v>0</v>
      </c>
      <c r="Z184" s="68">
        <f t="shared" si="121"/>
        <v>0</v>
      </c>
      <c r="AA184" s="68"/>
      <c r="AB184" s="68"/>
      <c r="AC184" s="68"/>
      <c r="AD184" s="68"/>
      <c r="AE184" s="68"/>
      <c r="AF184" s="68">
        <f>SUM(AF185)</f>
        <v>161</v>
      </c>
      <c r="AG184" s="68">
        <f>SUM(AG185)</f>
        <v>161</v>
      </c>
      <c r="AH184" s="81"/>
      <c r="AI184" s="81"/>
      <c r="AJ184" s="84"/>
    </row>
    <row r="185" s="45" customFormat="1" ht="26" customHeight="1" spans="1:36">
      <c r="A185" s="38">
        <v>1</v>
      </c>
      <c r="B185" s="38" t="s">
        <v>481</v>
      </c>
      <c r="C185" s="38" t="s">
        <v>482</v>
      </c>
      <c r="D185" s="38" t="s">
        <v>70</v>
      </c>
      <c r="E185" s="69"/>
      <c r="F185" s="69">
        <v>1</v>
      </c>
      <c r="G185" s="69"/>
      <c r="H185" s="69"/>
      <c r="I185" s="69"/>
      <c r="J185" s="69"/>
      <c r="K185" s="69"/>
      <c r="L185" s="38"/>
      <c r="M185" s="73" t="s">
        <v>483</v>
      </c>
      <c r="N185" s="69"/>
      <c r="O185" s="69"/>
      <c r="P185" s="38">
        <v>190</v>
      </c>
      <c r="Q185" s="69"/>
      <c r="R185" s="69"/>
      <c r="S185" s="69"/>
      <c r="T185" s="69"/>
      <c r="U185" s="69"/>
      <c r="V185" s="38">
        <v>190</v>
      </c>
      <c r="W185" s="38">
        <v>190</v>
      </c>
      <c r="X185" s="38"/>
      <c r="Y185" s="38"/>
      <c r="Z185" s="38"/>
      <c r="AA185" s="69"/>
      <c r="AB185" s="69"/>
      <c r="AC185" s="69"/>
      <c r="AD185" s="69"/>
      <c r="AE185" s="38">
        <f>INT(IF(V185&lt;[1]参数!$F$9,V185*[1]参数!$F$10,[1]参数!$F$9*[1]参数!$F$10+(V185-[1]参数!$F$9)*[1]参数!$G$10))</f>
        <v>161</v>
      </c>
      <c r="AF185" s="38">
        <f t="shared" ref="AF185:AF188" si="122">ROUND(MIN(AE185,W185),0)</f>
        <v>161</v>
      </c>
      <c r="AG185" s="38">
        <f>ROUND((AF185*$AM$1),0)</f>
        <v>161</v>
      </c>
      <c r="AH185" s="82">
        <v>45413</v>
      </c>
      <c r="AI185" s="82">
        <v>45536</v>
      </c>
      <c r="AJ185" s="83" t="s">
        <v>72</v>
      </c>
    </row>
    <row r="186" s="45" customFormat="1" ht="26" customHeight="1" spans="1:36">
      <c r="A186" s="68" t="s">
        <v>109</v>
      </c>
      <c r="B186" s="68" t="s">
        <v>484</v>
      </c>
      <c r="C186" s="68">
        <v>2</v>
      </c>
      <c r="D186" s="69"/>
      <c r="E186" s="68">
        <f t="shared" ref="E186:Z186" si="123">SUM(E187:E188)</f>
        <v>1</v>
      </c>
      <c r="F186" s="68">
        <f t="shared" si="123"/>
        <v>1</v>
      </c>
      <c r="G186" s="68">
        <f t="shared" si="123"/>
        <v>0</v>
      </c>
      <c r="H186" s="68">
        <f t="shared" si="123"/>
        <v>0</v>
      </c>
      <c r="I186" s="68">
        <f t="shared" si="123"/>
        <v>0</v>
      </c>
      <c r="J186" s="68">
        <f t="shared" si="123"/>
        <v>0</v>
      </c>
      <c r="K186" s="68">
        <f t="shared" si="123"/>
        <v>5292</v>
      </c>
      <c r="L186" s="68">
        <f t="shared" si="123"/>
        <v>0</v>
      </c>
      <c r="M186" s="72">
        <f t="shared" si="123"/>
        <v>0</v>
      </c>
      <c r="N186" s="68">
        <f t="shared" si="123"/>
        <v>2500</v>
      </c>
      <c r="O186" s="68">
        <f t="shared" si="123"/>
        <v>300</v>
      </c>
      <c r="P186" s="68">
        <f t="shared" si="123"/>
        <v>290</v>
      </c>
      <c r="Q186" s="68">
        <f t="shared" si="123"/>
        <v>5453</v>
      </c>
      <c r="R186" s="68">
        <f t="shared" si="123"/>
        <v>12</v>
      </c>
      <c r="S186" s="68">
        <f t="shared" si="123"/>
        <v>0</v>
      </c>
      <c r="T186" s="68">
        <f t="shared" si="123"/>
        <v>12</v>
      </c>
      <c r="U186" s="68">
        <f t="shared" si="123"/>
        <v>360</v>
      </c>
      <c r="V186" s="68">
        <f t="shared" si="123"/>
        <v>590</v>
      </c>
      <c r="W186" s="68">
        <f t="shared" si="123"/>
        <v>530</v>
      </c>
      <c r="X186" s="68">
        <f t="shared" si="123"/>
        <v>0</v>
      </c>
      <c r="Y186" s="68">
        <f t="shared" si="123"/>
        <v>60</v>
      </c>
      <c r="Z186" s="68">
        <f t="shared" si="123"/>
        <v>0</v>
      </c>
      <c r="AA186" s="68"/>
      <c r="AB186" s="68"/>
      <c r="AC186" s="68"/>
      <c r="AD186" s="68"/>
      <c r="AE186" s="68"/>
      <c r="AF186" s="68">
        <f>SUM(AF187:AF188)</f>
        <v>417</v>
      </c>
      <c r="AG186" s="68">
        <f>SUM(AG187:AG188)</f>
        <v>417</v>
      </c>
      <c r="AH186" s="103"/>
      <c r="AI186" s="103"/>
      <c r="AJ186" s="84"/>
    </row>
    <row r="187" s="50" customFormat="1" ht="26" customHeight="1" spans="1:36">
      <c r="A187" s="38">
        <v>1</v>
      </c>
      <c r="B187" s="38" t="s">
        <v>484</v>
      </c>
      <c r="C187" s="38" t="s">
        <v>264</v>
      </c>
      <c r="D187" s="38" t="s">
        <v>87</v>
      </c>
      <c r="E187" s="38">
        <v>1</v>
      </c>
      <c r="F187" s="38"/>
      <c r="G187" s="38"/>
      <c r="H187" s="38"/>
      <c r="I187" s="38"/>
      <c r="J187" s="38"/>
      <c r="K187" s="38">
        <v>5292</v>
      </c>
      <c r="L187" s="68"/>
      <c r="M187" s="73" t="s">
        <v>485</v>
      </c>
      <c r="N187" s="38">
        <v>2500</v>
      </c>
      <c r="O187" s="38">
        <v>300</v>
      </c>
      <c r="P187" s="38">
        <v>60</v>
      </c>
      <c r="Q187" s="38">
        <v>5453</v>
      </c>
      <c r="R187" s="38">
        <v>12</v>
      </c>
      <c r="S187" s="38"/>
      <c r="T187" s="38">
        <v>12</v>
      </c>
      <c r="U187" s="38">
        <v>360</v>
      </c>
      <c r="V187" s="38">
        <v>360</v>
      </c>
      <c r="W187" s="38">
        <v>330</v>
      </c>
      <c r="X187" s="38"/>
      <c r="Y187" s="38">
        <v>30</v>
      </c>
      <c r="Z187" s="38"/>
      <c r="AA187" s="38">
        <f>[1]参数!$D$1</f>
        <v>0.096</v>
      </c>
      <c r="AB187" s="38"/>
      <c r="AC187" s="38">
        <f>IF((T187)&gt;=12,3200,IF((T187)&gt;=9,2500,IF((T187)&gt;=6,1800,1200)))</f>
        <v>3200</v>
      </c>
      <c r="AD187" s="38">
        <f>ROUND(MIN(AC187,N187),0)</f>
        <v>2500</v>
      </c>
      <c r="AE187" s="38">
        <f>AA187*AD187</f>
        <v>240</v>
      </c>
      <c r="AF187" s="38">
        <f t="shared" si="122"/>
        <v>240</v>
      </c>
      <c r="AG187" s="38">
        <f>ROUND((AF187*$AM$1),0)</f>
        <v>240</v>
      </c>
      <c r="AH187" s="82">
        <v>45444</v>
      </c>
      <c r="AI187" s="82">
        <v>45536</v>
      </c>
      <c r="AJ187" s="84" t="s">
        <v>372</v>
      </c>
    </row>
    <row r="188" s="45" customFormat="1" ht="26" customHeight="1" spans="1:36">
      <c r="A188" s="38">
        <v>2</v>
      </c>
      <c r="B188" s="38" t="s">
        <v>484</v>
      </c>
      <c r="C188" s="38" t="s">
        <v>486</v>
      </c>
      <c r="D188" s="38" t="s">
        <v>70</v>
      </c>
      <c r="E188" s="69"/>
      <c r="F188" s="69">
        <v>1</v>
      </c>
      <c r="G188" s="69"/>
      <c r="H188" s="69"/>
      <c r="I188" s="69"/>
      <c r="J188" s="69"/>
      <c r="K188" s="69"/>
      <c r="L188" s="38"/>
      <c r="M188" s="73" t="s">
        <v>487</v>
      </c>
      <c r="N188" s="69"/>
      <c r="O188" s="69"/>
      <c r="P188" s="38">
        <v>230</v>
      </c>
      <c r="Q188" s="69"/>
      <c r="R188" s="69"/>
      <c r="S188" s="69"/>
      <c r="T188" s="69"/>
      <c r="U188" s="69"/>
      <c r="V188" s="38">
        <v>230</v>
      </c>
      <c r="W188" s="38">
        <v>200</v>
      </c>
      <c r="X188" s="38"/>
      <c r="Y188" s="38">
        <v>30</v>
      </c>
      <c r="Z188" s="38"/>
      <c r="AA188" s="69"/>
      <c r="AB188" s="69"/>
      <c r="AC188" s="69"/>
      <c r="AD188" s="69"/>
      <c r="AE188" s="38">
        <f>INT(IF(V188&lt;[1]参数!$F$9,V188*[1]参数!$F$10,[1]参数!$F$9*[1]参数!$F$10+(V188-[1]参数!$F$9)*[1]参数!$G$10))</f>
        <v>177</v>
      </c>
      <c r="AF188" s="38">
        <f t="shared" si="122"/>
        <v>177</v>
      </c>
      <c r="AG188" s="38">
        <f>ROUND((AF188*$AM$1),0)</f>
        <v>177</v>
      </c>
      <c r="AH188" s="82">
        <v>45474</v>
      </c>
      <c r="AI188" s="82">
        <v>45536</v>
      </c>
      <c r="AJ188" s="83" t="s">
        <v>72</v>
      </c>
    </row>
    <row r="189" s="45" customFormat="1" ht="26" customHeight="1" spans="1:36">
      <c r="A189" s="68" t="s">
        <v>118</v>
      </c>
      <c r="B189" s="68" t="s">
        <v>488</v>
      </c>
      <c r="C189" s="68">
        <v>2</v>
      </c>
      <c r="D189" s="69"/>
      <c r="E189" s="68">
        <f t="shared" ref="E189:Z189" si="124">SUM(E190:E191)</f>
        <v>0</v>
      </c>
      <c r="F189" s="68">
        <f t="shared" si="124"/>
        <v>2</v>
      </c>
      <c r="G189" s="68">
        <f t="shared" si="124"/>
        <v>0</v>
      </c>
      <c r="H189" s="68">
        <f t="shared" si="124"/>
        <v>0</v>
      </c>
      <c r="I189" s="68">
        <f t="shared" si="124"/>
        <v>0</v>
      </c>
      <c r="J189" s="68">
        <f t="shared" si="124"/>
        <v>0</v>
      </c>
      <c r="K189" s="68">
        <f t="shared" si="124"/>
        <v>0</v>
      </c>
      <c r="L189" s="68">
        <f t="shared" si="124"/>
        <v>0</v>
      </c>
      <c r="M189" s="72">
        <f t="shared" si="124"/>
        <v>0</v>
      </c>
      <c r="N189" s="68">
        <f t="shared" si="124"/>
        <v>0</v>
      </c>
      <c r="O189" s="68">
        <f t="shared" si="124"/>
        <v>0</v>
      </c>
      <c r="P189" s="68">
        <f t="shared" si="124"/>
        <v>200</v>
      </c>
      <c r="Q189" s="68">
        <f t="shared" si="124"/>
        <v>0</v>
      </c>
      <c r="R189" s="68">
        <f t="shared" si="124"/>
        <v>0</v>
      </c>
      <c r="S189" s="68">
        <f t="shared" si="124"/>
        <v>0</v>
      </c>
      <c r="T189" s="68">
        <f t="shared" si="124"/>
        <v>0</v>
      </c>
      <c r="U189" s="68">
        <f t="shared" si="124"/>
        <v>0</v>
      </c>
      <c r="V189" s="68">
        <f t="shared" si="124"/>
        <v>200</v>
      </c>
      <c r="W189" s="68">
        <f t="shared" si="124"/>
        <v>120</v>
      </c>
      <c r="X189" s="68">
        <f t="shared" si="124"/>
        <v>0</v>
      </c>
      <c r="Y189" s="68">
        <f t="shared" si="124"/>
        <v>80</v>
      </c>
      <c r="Z189" s="68">
        <f t="shared" si="124"/>
        <v>0</v>
      </c>
      <c r="AA189" s="68"/>
      <c r="AB189" s="68"/>
      <c r="AC189" s="68"/>
      <c r="AD189" s="68"/>
      <c r="AE189" s="68"/>
      <c r="AF189" s="68">
        <f>SUM(AF190:AF191)</f>
        <v>120</v>
      </c>
      <c r="AG189" s="68">
        <f>SUM(AG190:AG191)</f>
        <v>120</v>
      </c>
      <c r="AH189" s="81"/>
      <c r="AI189" s="81"/>
      <c r="AJ189" s="84"/>
    </row>
    <row r="190" s="45" customFormat="1" ht="26" customHeight="1" spans="1:36">
      <c r="A190" s="38">
        <v>1</v>
      </c>
      <c r="B190" s="38" t="s">
        <v>488</v>
      </c>
      <c r="C190" s="38" t="s">
        <v>489</v>
      </c>
      <c r="D190" s="38" t="s">
        <v>70</v>
      </c>
      <c r="E190" s="69"/>
      <c r="F190" s="69">
        <v>1</v>
      </c>
      <c r="G190" s="69"/>
      <c r="H190" s="69"/>
      <c r="I190" s="69"/>
      <c r="J190" s="69"/>
      <c r="K190" s="69"/>
      <c r="L190" s="38"/>
      <c r="M190" s="73" t="s">
        <v>490</v>
      </c>
      <c r="N190" s="69"/>
      <c r="O190" s="69"/>
      <c r="P190" s="38">
        <v>100</v>
      </c>
      <c r="Q190" s="69"/>
      <c r="R190" s="69"/>
      <c r="S190" s="69"/>
      <c r="T190" s="69"/>
      <c r="U190" s="69"/>
      <c r="V190" s="38">
        <v>100</v>
      </c>
      <c r="W190" s="38">
        <v>60</v>
      </c>
      <c r="X190" s="38"/>
      <c r="Y190" s="38">
        <v>40</v>
      </c>
      <c r="Z190" s="69"/>
      <c r="AA190" s="69"/>
      <c r="AB190" s="69"/>
      <c r="AC190" s="69"/>
      <c r="AD190" s="69"/>
      <c r="AE190" s="38">
        <f>INT(IF(V190&lt;[1]参数!$F$9,V190*[1]参数!$F$10,[1]参数!$F$9*[1]参数!$F$10+(V190-[1]参数!$F$9)*[1]参数!$G$10))</f>
        <v>85</v>
      </c>
      <c r="AF190" s="38">
        <f t="shared" ref="AF190:AF194" si="125">ROUND(MIN(AE190,W190),0)</f>
        <v>60</v>
      </c>
      <c r="AG190" s="38">
        <f>ROUND((AF190*$AM$1),0)</f>
        <v>60</v>
      </c>
      <c r="AH190" s="82">
        <v>45231</v>
      </c>
      <c r="AI190" s="82">
        <v>45323</v>
      </c>
      <c r="AJ190" s="83" t="s">
        <v>72</v>
      </c>
    </row>
    <row r="191" s="45" customFormat="1" ht="26" customHeight="1" spans="1:36">
      <c r="A191" s="38">
        <v>2</v>
      </c>
      <c r="B191" s="38" t="s">
        <v>488</v>
      </c>
      <c r="C191" s="38" t="s">
        <v>491</v>
      </c>
      <c r="D191" s="38" t="s">
        <v>70</v>
      </c>
      <c r="E191" s="69"/>
      <c r="F191" s="69">
        <v>1</v>
      </c>
      <c r="G191" s="69"/>
      <c r="H191" s="69"/>
      <c r="I191" s="69"/>
      <c r="J191" s="69"/>
      <c r="K191" s="69"/>
      <c r="L191" s="38"/>
      <c r="M191" s="73" t="s">
        <v>492</v>
      </c>
      <c r="N191" s="69"/>
      <c r="O191" s="69"/>
      <c r="P191" s="38">
        <v>100</v>
      </c>
      <c r="Q191" s="69"/>
      <c r="R191" s="69"/>
      <c r="S191" s="69"/>
      <c r="T191" s="69"/>
      <c r="U191" s="69"/>
      <c r="V191" s="38">
        <v>100</v>
      </c>
      <c r="W191" s="38">
        <v>60</v>
      </c>
      <c r="X191" s="38"/>
      <c r="Y191" s="38">
        <v>40</v>
      </c>
      <c r="Z191" s="38"/>
      <c r="AA191" s="69"/>
      <c r="AB191" s="69"/>
      <c r="AC191" s="69"/>
      <c r="AD191" s="69"/>
      <c r="AE191" s="38">
        <f>INT(IF(V191&lt;[1]参数!$F$9,V191*[1]参数!$F$10,[1]参数!$F$9*[1]参数!$F$10+(V191-[1]参数!$F$9)*[1]参数!$G$10))</f>
        <v>85</v>
      </c>
      <c r="AF191" s="38">
        <f t="shared" si="125"/>
        <v>60</v>
      </c>
      <c r="AG191" s="38">
        <f>ROUND((AF191*$AM$1),0)</f>
        <v>60</v>
      </c>
      <c r="AH191" s="82">
        <v>45474</v>
      </c>
      <c r="AI191" s="82">
        <v>45536</v>
      </c>
      <c r="AJ191" s="83" t="s">
        <v>72</v>
      </c>
    </row>
    <row r="192" s="45" customFormat="1" ht="18" spans="1:36">
      <c r="A192" s="68" t="s">
        <v>123</v>
      </c>
      <c r="B192" s="68" t="s">
        <v>493</v>
      </c>
      <c r="C192" s="68">
        <v>2</v>
      </c>
      <c r="D192" s="69"/>
      <c r="E192" s="68">
        <f t="shared" ref="E192:Z192" si="126">SUM(E193:E194)</f>
        <v>1</v>
      </c>
      <c r="F192" s="68">
        <f t="shared" si="126"/>
        <v>1</v>
      </c>
      <c r="G192" s="68">
        <f t="shared" si="126"/>
        <v>0</v>
      </c>
      <c r="H192" s="68">
        <f t="shared" si="126"/>
        <v>0</v>
      </c>
      <c r="I192" s="68">
        <f t="shared" si="126"/>
        <v>0</v>
      </c>
      <c r="J192" s="68">
        <f t="shared" si="126"/>
        <v>0</v>
      </c>
      <c r="K192" s="68">
        <f t="shared" si="126"/>
        <v>1074</v>
      </c>
      <c r="L192" s="68">
        <f t="shared" si="126"/>
        <v>0</v>
      </c>
      <c r="M192" s="72">
        <f t="shared" si="126"/>
        <v>0</v>
      </c>
      <c r="N192" s="68">
        <f t="shared" si="126"/>
        <v>1074</v>
      </c>
      <c r="O192" s="68">
        <f t="shared" si="126"/>
        <v>400</v>
      </c>
      <c r="P192" s="68">
        <f t="shared" si="126"/>
        <v>400</v>
      </c>
      <c r="Q192" s="68">
        <f t="shared" si="126"/>
        <v>1074</v>
      </c>
      <c r="R192" s="68">
        <f t="shared" si="126"/>
        <v>6</v>
      </c>
      <c r="S192" s="68">
        <f t="shared" si="126"/>
        <v>0</v>
      </c>
      <c r="T192" s="68">
        <f t="shared" si="126"/>
        <v>6</v>
      </c>
      <c r="U192" s="68">
        <f t="shared" si="126"/>
        <v>180</v>
      </c>
      <c r="V192" s="68">
        <f t="shared" si="126"/>
        <v>800</v>
      </c>
      <c r="W192" s="68">
        <f t="shared" si="126"/>
        <v>640</v>
      </c>
      <c r="X192" s="68">
        <f t="shared" si="126"/>
        <v>0</v>
      </c>
      <c r="Y192" s="68">
        <f t="shared" si="126"/>
        <v>160</v>
      </c>
      <c r="Z192" s="68">
        <f t="shared" si="126"/>
        <v>0</v>
      </c>
      <c r="AA192" s="68"/>
      <c r="AB192" s="68"/>
      <c r="AC192" s="68"/>
      <c r="AD192" s="68"/>
      <c r="AE192" s="68"/>
      <c r="AF192" s="68">
        <f>SUM(AF193:AF194)</f>
        <v>298</v>
      </c>
      <c r="AG192" s="68">
        <f>SUM(AG193:AG194)</f>
        <v>298</v>
      </c>
      <c r="AH192" s="81"/>
      <c r="AI192" s="81"/>
      <c r="AJ192" s="84"/>
    </row>
    <row r="193" s="50" customFormat="1" ht="24" customHeight="1" spans="1:36">
      <c r="A193" s="38">
        <v>1</v>
      </c>
      <c r="B193" s="38" t="s">
        <v>493</v>
      </c>
      <c r="C193" s="38" t="s">
        <v>494</v>
      </c>
      <c r="D193" s="38" t="s">
        <v>87</v>
      </c>
      <c r="E193" s="38">
        <v>1</v>
      </c>
      <c r="F193" s="38"/>
      <c r="G193" s="38"/>
      <c r="H193" s="38"/>
      <c r="I193" s="38"/>
      <c r="J193" s="38"/>
      <c r="K193" s="38">
        <v>1074</v>
      </c>
      <c r="L193" s="38" t="s">
        <v>495</v>
      </c>
      <c r="M193" s="73" t="s">
        <v>496</v>
      </c>
      <c r="N193" s="38">
        <v>1074</v>
      </c>
      <c r="O193" s="38">
        <v>400</v>
      </c>
      <c r="P193" s="38">
        <v>100</v>
      </c>
      <c r="Q193" s="38">
        <v>1074</v>
      </c>
      <c r="R193" s="38">
        <v>6</v>
      </c>
      <c r="S193" s="38"/>
      <c r="T193" s="38">
        <v>6</v>
      </c>
      <c r="U193" s="38">
        <v>180</v>
      </c>
      <c r="V193" s="38">
        <v>500</v>
      </c>
      <c r="W193" s="38">
        <v>400</v>
      </c>
      <c r="X193" s="38"/>
      <c r="Y193" s="38">
        <v>100</v>
      </c>
      <c r="Z193" s="38"/>
      <c r="AA193" s="38">
        <f>[1]参数!$D$1</f>
        <v>0.096</v>
      </c>
      <c r="AB193" s="38"/>
      <c r="AC193" s="38">
        <f>IF((T193)&gt;=12,3200,IF((T193)&gt;=9,2500,IF((T193)&gt;=6,1800,1200)))</f>
        <v>1800</v>
      </c>
      <c r="AD193" s="38">
        <f>ROUND(MIN(AC193,N193),0)</f>
        <v>1074</v>
      </c>
      <c r="AE193" s="38">
        <f>AA193*AD193</f>
        <v>103.104</v>
      </c>
      <c r="AF193" s="38">
        <f t="shared" si="125"/>
        <v>103</v>
      </c>
      <c r="AG193" s="38">
        <f>ROUND((AF193*$AM$1),0)</f>
        <v>103</v>
      </c>
      <c r="AH193" s="82">
        <v>45474</v>
      </c>
      <c r="AI193" s="82">
        <v>45505</v>
      </c>
      <c r="AJ193" s="83" t="s">
        <v>497</v>
      </c>
    </row>
    <row r="194" s="45" customFormat="1" ht="24" customHeight="1" spans="1:36">
      <c r="A194" s="38">
        <v>2</v>
      </c>
      <c r="B194" s="38" t="s">
        <v>493</v>
      </c>
      <c r="C194" s="38" t="s">
        <v>498</v>
      </c>
      <c r="D194" s="38" t="s">
        <v>70</v>
      </c>
      <c r="E194" s="69"/>
      <c r="F194" s="69">
        <v>1</v>
      </c>
      <c r="G194" s="69"/>
      <c r="H194" s="69"/>
      <c r="I194" s="69"/>
      <c r="J194" s="69"/>
      <c r="K194" s="69"/>
      <c r="L194" s="93"/>
      <c r="M194" s="94" t="s">
        <v>499</v>
      </c>
      <c r="N194" s="69"/>
      <c r="O194" s="69"/>
      <c r="P194" s="93">
        <v>300</v>
      </c>
      <c r="Q194" s="69"/>
      <c r="R194" s="69"/>
      <c r="S194" s="69"/>
      <c r="T194" s="69"/>
      <c r="U194" s="69"/>
      <c r="V194" s="93">
        <v>300</v>
      </c>
      <c r="W194" s="93">
        <v>240</v>
      </c>
      <c r="X194" s="93"/>
      <c r="Y194" s="93">
        <v>60</v>
      </c>
      <c r="Z194" s="93"/>
      <c r="AA194" s="69"/>
      <c r="AB194" s="69"/>
      <c r="AC194" s="69"/>
      <c r="AD194" s="69"/>
      <c r="AE194" s="38">
        <f>INT(IF(V194&lt;[1]参数!$F$9,V194*[1]参数!$F$10,[1]参数!$F$9*[1]参数!$F$10+(V194-[1]参数!$F$9)*[1]参数!$G$10))</f>
        <v>195</v>
      </c>
      <c r="AF194" s="38">
        <f t="shared" si="125"/>
        <v>195</v>
      </c>
      <c r="AG194" s="38">
        <f>ROUND((AF194*$AM$1),0)</f>
        <v>195</v>
      </c>
      <c r="AH194" s="86" t="s">
        <v>500</v>
      </c>
      <c r="AI194" s="82">
        <v>45627</v>
      </c>
      <c r="AJ194" s="83" t="s">
        <v>227</v>
      </c>
    </row>
    <row r="195" s="45" customFormat="1" ht="24" customHeight="1" spans="1:36">
      <c r="A195" s="68" t="s">
        <v>134</v>
      </c>
      <c r="B195" s="68" t="s">
        <v>501</v>
      </c>
      <c r="C195" s="68">
        <v>2</v>
      </c>
      <c r="D195" s="69"/>
      <c r="E195" s="68">
        <f t="shared" ref="E195:Z195" si="127">SUM(E196:E197)</f>
        <v>0</v>
      </c>
      <c r="F195" s="68">
        <f t="shared" si="127"/>
        <v>2</v>
      </c>
      <c r="G195" s="68">
        <f t="shared" si="127"/>
        <v>0</v>
      </c>
      <c r="H195" s="68">
        <f t="shared" si="127"/>
        <v>0</v>
      </c>
      <c r="I195" s="68">
        <f t="shared" si="127"/>
        <v>0</v>
      </c>
      <c r="J195" s="68">
        <f t="shared" si="127"/>
        <v>0</v>
      </c>
      <c r="K195" s="68">
        <f t="shared" si="127"/>
        <v>0</v>
      </c>
      <c r="L195" s="68">
        <f t="shared" si="127"/>
        <v>0</v>
      </c>
      <c r="M195" s="72">
        <f t="shared" si="127"/>
        <v>0</v>
      </c>
      <c r="N195" s="68">
        <f t="shared" si="127"/>
        <v>0</v>
      </c>
      <c r="O195" s="68">
        <f t="shared" si="127"/>
        <v>0</v>
      </c>
      <c r="P195" s="68">
        <f t="shared" si="127"/>
        <v>370</v>
      </c>
      <c r="Q195" s="68">
        <f t="shared" si="127"/>
        <v>0</v>
      </c>
      <c r="R195" s="68">
        <f t="shared" si="127"/>
        <v>0</v>
      </c>
      <c r="S195" s="68">
        <f t="shared" si="127"/>
        <v>0</v>
      </c>
      <c r="T195" s="68">
        <f t="shared" si="127"/>
        <v>0</v>
      </c>
      <c r="U195" s="68">
        <f t="shared" si="127"/>
        <v>0</v>
      </c>
      <c r="V195" s="68">
        <f t="shared" si="127"/>
        <v>370</v>
      </c>
      <c r="W195" s="68">
        <f t="shared" si="127"/>
        <v>320</v>
      </c>
      <c r="X195" s="68">
        <f t="shared" si="127"/>
        <v>0</v>
      </c>
      <c r="Y195" s="68">
        <f t="shared" si="127"/>
        <v>50</v>
      </c>
      <c r="Z195" s="68">
        <f t="shared" si="127"/>
        <v>0</v>
      </c>
      <c r="AA195" s="68"/>
      <c r="AB195" s="68"/>
      <c r="AC195" s="68"/>
      <c r="AD195" s="68"/>
      <c r="AE195" s="68"/>
      <c r="AF195" s="68">
        <f>SUM(AF196:AF197)</f>
        <v>311</v>
      </c>
      <c r="AG195" s="68">
        <f>SUM(AG196:AG197)</f>
        <v>311</v>
      </c>
      <c r="AH195" s="103"/>
      <c r="AI195" s="103"/>
      <c r="AJ195" s="84"/>
    </row>
    <row r="196" s="45" customFormat="1" ht="24" customHeight="1" spans="1:36">
      <c r="A196" s="38">
        <v>1</v>
      </c>
      <c r="B196" s="38" t="s">
        <v>502</v>
      </c>
      <c r="C196" s="38" t="s">
        <v>503</v>
      </c>
      <c r="D196" s="38" t="s">
        <v>70</v>
      </c>
      <c r="E196" s="69"/>
      <c r="F196" s="69">
        <v>1</v>
      </c>
      <c r="G196" s="69"/>
      <c r="H196" s="69"/>
      <c r="I196" s="69"/>
      <c r="J196" s="69"/>
      <c r="K196" s="69"/>
      <c r="L196" s="38" t="s">
        <v>504</v>
      </c>
      <c r="M196" s="73" t="s">
        <v>505</v>
      </c>
      <c r="N196" s="69"/>
      <c r="O196" s="69"/>
      <c r="P196" s="38">
        <v>190</v>
      </c>
      <c r="Q196" s="69"/>
      <c r="R196" s="69"/>
      <c r="S196" s="69"/>
      <c r="T196" s="69"/>
      <c r="U196" s="69"/>
      <c r="V196" s="38">
        <v>190</v>
      </c>
      <c r="W196" s="38">
        <v>170</v>
      </c>
      <c r="X196" s="38"/>
      <c r="Y196" s="38">
        <v>20</v>
      </c>
      <c r="Z196" s="38"/>
      <c r="AA196" s="69"/>
      <c r="AB196" s="69"/>
      <c r="AC196" s="69"/>
      <c r="AD196" s="69"/>
      <c r="AE196" s="38">
        <f>INT(IF(V196&lt;[1]参数!$F$9,V196*[1]参数!$F$10,[1]参数!$F$9*[1]参数!$F$10+(V196-[1]参数!$F$9)*[1]参数!$G$10))</f>
        <v>161</v>
      </c>
      <c r="AF196" s="38">
        <f t="shared" ref="AF196:AF200" si="128">ROUND(MIN(AE196,W196),0)</f>
        <v>161</v>
      </c>
      <c r="AG196" s="38">
        <f>ROUND((AF196*$AM$1),0)</f>
        <v>161</v>
      </c>
      <c r="AH196" s="82">
        <v>45413</v>
      </c>
      <c r="AI196" s="82">
        <v>45505</v>
      </c>
      <c r="AJ196" s="83"/>
    </row>
    <row r="197" s="45" customFormat="1" ht="24" customHeight="1" spans="1:36">
      <c r="A197" s="38">
        <v>2</v>
      </c>
      <c r="B197" s="38" t="s">
        <v>502</v>
      </c>
      <c r="C197" s="38" t="s">
        <v>506</v>
      </c>
      <c r="D197" s="38" t="s">
        <v>70</v>
      </c>
      <c r="E197" s="69"/>
      <c r="F197" s="69">
        <v>1</v>
      </c>
      <c r="G197" s="69"/>
      <c r="H197" s="69"/>
      <c r="I197" s="69"/>
      <c r="J197" s="69"/>
      <c r="K197" s="69"/>
      <c r="L197" s="38" t="s">
        <v>507</v>
      </c>
      <c r="M197" s="73" t="s">
        <v>508</v>
      </c>
      <c r="N197" s="69"/>
      <c r="O197" s="69"/>
      <c r="P197" s="38">
        <v>180</v>
      </c>
      <c r="Q197" s="69"/>
      <c r="R197" s="69"/>
      <c r="S197" s="69"/>
      <c r="T197" s="69"/>
      <c r="U197" s="69"/>
      <c r="V197" s="38">
        <v>180</v>
      </c>
      <c r="W197" s="38">
        <v>150</v>
      </c>
      <c r="X197" s="38"/>
      <c r="Y197" s="38">
        <v>30</v>
      </c>
      <c r="Z197" s="38"/>
      <c r="AA197" s="69"/>
      <c r="AB197" s="69"/>
      <c r="AC197" s="69"/>
      <c r="AD197" s="69"/>
      <c r="AE197" s="38">
        <f>INT(IF(V197&lt;[1]参数!$F$9,V197*[1]参数!$F$10,[1]参数!$F$9*[1]参数!$F$10+(V197-[1]参数!$F$9)*[1]参数!$G$10))</f>
        <v>153</v>
      </c>
      <c r="AF197" s="38">
        <f t="shared" si="128"/>
        <v>150</v>
      </c>
      <c r="AG197" s="38">
        <f>ROUND((AF197*$AM$1),0)</f>
        <v>150</v>
      </c>
      <c r="AH197" s="82">
        <v>45413</v>
      </c>
      <c r="AI197" s="82">
        <v>45505</v>
      </c>
      <c r="AJ197" s="83"/>
    </row>
    <row r="198" s="45" customFormat="1" ht="24" customHeight="1" spans="1:36">
      <c r="A198" s="68" t="s">
        <v>140</v>
      </c>
      <c r="B198" s="68" t="s">
        <v>509</v>
      </c>
      <c r="C198" s="68">
        <v>2</v>
      </c>
      <c r="D198" s="69"/>
      <c r="E198" s="68">
        <f t="shared" ref="E198:Z198" si="129">SUM(E199:E200)</f>
        <v>1</v>
      </c>
      <c r="F198" s="68">
        <f t="shared" si="129"/>
        <v>1</v>
      </c>
      <c r="G198" s="68">
        <f t="shared" si="129"/>
        <v>0</v>
      </c>
      <c r="H198" s="68">
        <f t="shared" si="129"/>
        <v>0</v>
      </c>
      <c r="I198" s="68">
        <f t="shared" si="129"/>
        <v>0</v>
      </c>
      <c r="J198" s="68">
        <f t="shared" si="129"/>
        <v>0</v>
      </c>
      <c r="K198" s="68">
        <f t="shared" si="129"/>
        <v>5568</v>
      </c>
      <c r="L198" s="68">
        <f t="shared" si="129"/>
        <v>0</v>
      </c>
      <c r="M198" s="72">
        <f t="shared" si="129"/>
        <v>0</v>
      </c>
      <c r="N198" s="68">
        <f t="shared" si="129"/>
        <v>2545</v>
      </c>
      <c r="O198" s="68">
        <f t="shared" si="129"/>
        <v>255</v>
      </c>
      <c r="P198" s="68">
        <f t="shared" si="129"/>
        <v>180</v>
      </c>
      <c r="Q198" s="68">
        <f t="shared" si="129"/>
        <v>2545</v>
      </c>
      <c r="R198" s="68">
        <f t="shared" si="129"/>
        <v>9</v>
      </c>
      <c r="S198" s="68">
        <f t="shared" si="129"/>
        <v>0</v>
      </c>
      <c r="T198" s="68">
        <f t="shared" si="129"/>
        <v>9</v>
      </c>
      <c r="U198" s="68">
        <f t="shared" si="129"/>
        <v>270</v>
      </c>
      <c r="V198" s="68">
        <f t="shared" si="129"/>
        <v>435</v>
      </c>
      <c r="W198" s="68">
        <f t="shared" si="129"/>
        <v>435</v>
      </c>
      <c r="X198" s="68">
        <f t="shared" si="129"/>
        <v>0</v>
      </c>
      <c r="Y198" s="68">
        <f t="shared" si="129"/>
        <v>0</v>
      </c>
      <c r="Z198" s="68">
        <f t="shared" si="129"/>
        <v>0</v>
      </c>
      <c r="AA198" s="68"/>
      <c r="AB198" s="68"/>
      <c r="AC198" s="68"/>
      <c r="AD198" s="68"/>
      <c r="AE198" s="68"/>
      <c r="AF198" s="68">
        <f>SUM(AF199:AF200)</f>
        <v>393</v>
      </c>
      <c r="AG198" s="68">
        <f>SUM(AG199:AG200)</f>
        <v>393</v>
      </c>
      <c r="AH198" s="81"/>
      <c r="AI198" s="81"/>
      <c r="AJ198" s="84"/>
    </row>
    <row r="199" s="50" customFormat="1" ht="24" customHeight="1" spans="1:36">
      <c r="A199" s="38">
        <v>1</v>
      </c>
      <c r="B199" s="38" t="s">
        <v>509</v>
      </c>
      <c r="C199" s="38" t="s">
        <v>510</v>
      </c>
      <c r="D199" s="38" t="s">
        <v>87</v>
      </c>
      <c r="E199" s="38">
        <v>1</v>
      </c>
      <c r="F199" s="38"/>
      <c r="G199" s="38"/>
      <c r="H199" s="38"/>
      <c r="I199" s="38"/>
      <c r="J199" s="38"/>
      <c r="K199" s="38">
        <v>5568</v>
      </c>
      <c r="L199" s="68"/>
      <c r="M199" s="73" t="s">
        <v>511</v>
      </c>
      <c r="N199" s="38">
        <v>2545</v>
      </c>
      <c r="O199" s="38">
        <v>255</v>
      </c>
      <c r="P199" s="38">
        <v>0</v>
      </c>
      <c r="Q199" s="38">
        <v>2545</v>
      </c>
      <c r="R199" s="38">
        <v>9</v>
      </c>
      <c r="S199" s="38"/>
      <c r="T199" s="38">
        <v>9</v>
      </c>
      <c r="U199" s="38">
        <v>270</v>
      </c>
      <c r="V199" s="38">
        <v>255</v>
      </c>
      <c r="W199" s="38">
        <v>255</v>
      </c>
      <c r="X199" s="38"/>
      <c r="Y199" s="38"/>
      <c r="Z199" s="38"/>
      <c r="AA199" s="38">
        <f>[1]参数!$D$1</f>
        <v>0.096</v>
      </c>
      <c r="AB199" s="38"/>
      <c r="AC199" s="38">
        <f>IF((T199)&gt;=12,3200,IF((T199)&gt;=9,2500,IF((T199)&gt;=6,1800,1200)))</f>
        <v>2500</v>
      </c>
      <c r="AD199" s="38">
        <f>ROUND(MIN(AC199,N199),0)</f>
        <v>2500</v>
      </c>
      <c r="AE199" s="38">
        <f>AA199*AD199</f>
        <v>240</v>
      </c>
      <c r="AF199" s="38">
        <f t="shared" si="128"/>
        <v>240</v>
      </c>
      <c r="AG199" s="38">
        <f>ROUND((AF199*$AM$1),0)</f>
        <v>240</v>
      </c>
      <c r="AH199" s="82">
        <v>45474</v>
      </c>
      <c r="AI199" s="82">
        <v>45536</v>
      </c>
      <c r="AJ199" s="83" t="s">
        <v>129</v>
      </c>
    </row>
    <row r="200" s="45" customFormat="1" ht="34" customHeight="1" spans="1:36">
      <c r="A200" s="38">
        <v>2</v>
      </c>
      <c r="B200" s="38" t="s">
        <v>509</v>
      </c>
      <c r="C200" s="38" t="s">
        <v>512</v>
      </c>
      <c r="D200" s="38" t="s">
        <v>70</v>
      </c>
      <c r="E200" s="69"/>
      <c r="F200" s="69">
        <v>1</v>
      </c>
      <c r="G200" s="69"/>
      <c r="H200" s="69"/>
      <c r="I200" s="69"/>
      <c r="J200" s="69"/>
      <c r="K200" s="69"/>
      <c r="L200" s="38"/>
      <c r="M200" s="73" t="s">
        <v>513</v>
      </c>
      <c r="N200" s="69"/>
      <c r="O200" s="69"/>
      <c r="P200" s="38">
        <v>180</v>
      </c>
      <c r="Q200" s="69"/>
      <c r="R200" s="69"/>
      <c r="S200" s="69"/>
      <c r="T200" s="69"/>
      <c r="U200" s="69"/>
      <c r="V200" s="38">
        <v>180</v>
      </c>
      <c r="W200" s="38">
        <v>180</v>
      </c>
      <c r="X200" s="38"/>
      <c r="Y200" s="38"/>
      <c r="Z200" s="38"/>
      <c r="AA200" s="69"/>
      <c r="AB200" s="69"/>
      <c r="AC200" s="69"/>
      <c r="AD200" s="69"/>
      <c r="AE200" s="38">
        <f>INT(IF(V200&lt;[1]参数!$F$9,V200*[1]参数!$F$10,[1]参数!$F$9*[1]参数!$F$10+(V200-[1]参数!$F$9)*[1]参数!$G$10))</f>
        <v>153</v>
      </c>
      <c r="AF200" s="38">
        <f t="shared" si="128"/>
        <v>153</v>
      </c>
      <c r="AG200" s="38">
        <f>ROUND((AF200*$AM$1),0)</f>
        <v>153</v>
      </c>
      <c r="AH200" s="82">
        <v>45413</v>
      </c>
      <c r="AI200" s="82">
        <v>45505</v>
      </c>
      <c r="AJ200" s="83" t="s">
        <v>72</v>
      </c>
    </row>
    <row r="201" s="45" customFormat="1" ht="18" spans="1:36">
      <c r="A201" s="38"/>
      <c r="B201" s="68" t="s">
        <v>514</v>
      </c>
      <c r="C201" s="68">
        <f t="shared" ref="C201:AG201" si="130">C202+C204+C210+C213+C216+C221+C224</f>
        <v>20</v>
      </c>
      <c r="D201" s="68">
        <f t="shared" si="130"/>
        <v>0</v>
      </c>
      <c r="E201" s="68">
        <f t="shared" si="130"/>
        <v>1</v>
      </c>
      <c r="F201" s="68">
        <f t="shared" si="130"/>
        <v>11</v>
      </c>
      <c r="G201" s="68">
        <f t="shared" si="130"/>
        <v>6</v>
      </c>
      <c r="H201" s="68">
        <f t="shared" si="130"/>
        <v>2</v>
      </c>
      <c r="I201" s="68">
        <f t="shared" si="130"/>
        <v>0</v>
      </c>
      <c r="J201" s="68">
        <f t="shared" si="130"/>
        <v>0</v>
      </c>
      <c r="K201" s="68">
        <f t="shared" si="130"/>
        <v>31005</v>
      </c>
      <c r="L201" s="68">
        <f t="shared" si="130"/>
        <v>0</v>
      </c>
      <c r="M201" s="72">
        <f t="shared" si="130"/>
        <v>0</v>
      </c>
      <c r="N201" s="68">
        <f t="shared" si="130"/>
        <v>19075.71</v>
      </c>
      <c r="O201" s="68">
        <f t="shared" si="130"/>
        <v>2382</v>
      </c>
      <c r="P201" s="68">
        <f t="shared" si="130"/>
        <v>3162</v>
      </c>
      <c r="Q201" s="68">
        <f t="shared" si="130"/>
        <v>33642.25</v>
      </c>
      <c r="R201" s="68">
        <f t="shared" si="130"/>
        <v>91</v>
      </c>
      <c r="S201" s="68">
        <f t="shared" si="130"/>
        <v>1050</v>
      </c>
      <c r="T201" s="68">
        <f t="shared" si="130"/>
        <v>17</v>
      </c>
      <c r="U201" s="68">
        <f t="shared" si="130"/>
        <v>510</v>
      </c>
      <c r="V201" s="68">
        <f t="shared" si="130"/>
        <v>5544</v>
      </c>
      <c r="W201" s="68">
        <f t="shared" si="130"/>
        <v>3948</v>
      </c>
      <c r="X201" s="68">
        <f t="shared" si="130"/>
        <v>0</v>
      </c>
      <c r="Y201" s="68">
        <f t="shared" si="130"/>
        <v>966</v>
      </c>
      <c r="Z201" s="68">
        <f t="shared" si="130"/>
        <v>630</v>
      </c>
      <c r="AA201" s="68">
        <f t="shared" si="130"/>
        <v>0</v>
      </c>
      <c r="AB201" s="68">
        <f t="shared" si="130"/>
        <v>0</v>
      </c>
      <c r="AC201" s="68">
        <f t="shared" si="130"/>
        <v>0</v>
      </c>
      <c r="AD201" s="68">
        <f t="shared" si="130"/>
        <v>0</v>
      </c>
      <c r="AE201" s="68">
        <f t="shared" si="130"/>
        <v>0</v>
      </c>
      <c r="AF201" s="68">
        <f t="shared" si="130"/>
        <v>3162</v>
      </c>
      <c r="AG201" s="68">
        <f t="shared" si="130"/>
        <v>3162</v>
      </c>
      <c r="AH201" s="81"/>
      <c r="AI201" s="81"/>
      <c r="AJ201" s="84"/>
    </row>
    <row r="202" s="56" customFormat="1" ht="18" spans="1:36">
      <c r="A202" s="68" t="s">
        <v>44</v>
      </c>
      <c r="B202" s="68" t="s">
        <v>515</v>
      </c>
      <c r="C202" s="68">
        <v>1</v>
      </c>
      <c r="D202" s="68"/>
      <c r="E202" s="68">
        <f t="shared" ref="E202:Z202" si="131">SUM(E203)</f>
        <v>0</v>
      </c>
      <c r="F202" s="68">
        <f t="shared" si="131"/>
        <v>0</v>
      </c>
      <c r="G202" s="68">
        <f t="shared" si="131"/>
        <v>0</v>
      </c>
      <c r="H202" s="68">
        <f t="shared" si="131"/>
        <v>1</v>
      </c>
      <c r="I202" s="68">
        <f t="shared" si="131"/>
        <v>0</v>
      </c>
      <c r="J202" s="68">
        <f t="shared" si="131"/>
        <v>0</v>
      </c>
      <c r="K202" s="68">
        <f t="shared" si="131"/>
        <v>5616</v>
      </c>
      <c r="L202" s="68">
        <f t="shared" si="131"/>
        <v>0</v>
      </c>
      <c r="M202" s="72">
        <f t="shared" si="131"/>
        <v>0</v>
      </c>
      <c r="N202" s="68">
        <f t="shared" si="131"/>
        <v>4394.71</v>
      </c>
      <c r="O202" s="68">
        <f t="shared" si="131"/>
        <v>100</v>
      </c>
      <c r="P202" s="68">
        <f t="shared" si="131"/>
        <v>300</v>
      </c>
      <c r="Q202" s="68">
        <f t="shared" si="131"/>
        <v>3035</v>
      </c>
      <c r="R202" s="68">
        <f t="shared" si="131"/>
        <v>12</v>
      </c>
      <c r="S202" s="68">
        <f t="shared" si="131"/>
        <v>360</v>
      </c>
      <c r="T202" s="68">
        <f t="shared" si="131"/>
        <v>0</v>
      </c>
      <c r="U202" s="68">
        <f t="shared" si="131"/>
        <v>0</v>
      </c>
      <c r="V202" s="68">
        <f t="shared" si="131"/>
        <v>400</v>
      </c>
      <c r="W202" s="68">
        <f t="shared" si="131"/>
        <v>300</v>
      </c>
      <c r="X202" s="68">
        <f t="shared" si="131"/>
        <v>0</v>
      </c>
      <c r="Y202" s="68">
        <f t="shared" si="131"/>
        <v>100</v>
      </c>
      <c r="Z202" s="68">
        <f t="shared" si="131"/>
        <v>0</v>
      </c>
      <c r="AA202" s="68"/>
      <c r="AB202" s="68"/>
      <c r="AC202" s="68"/>
      <c r="AD202" s="68"/>
      <c r="AE202" s="68"/>
      <c r="AF202" s="68">
        <f>SUM(AF203)</f>
        <v>300</v>
      </c>
      <c r="AG202" s="68">
        <f>SUM(AG203)</f>
        <v>300</v>
      </c>
      <c r="AH202" s="81"/>
      <c r="AI202" s="81"/>
      <c r="AJ202" s="84"/>
    </row>
    <row r="203" s="50" customFormat="1" ht="25" customHeight="1" spans="1:36">
      <c r="A203" s="38">
        <v>1</v>
      </c>
      <c r="B203" s="38" t="s">
        <v>516</v>
      </c>
      <c r="C203" s="38" t="s">
        <v>517</v>
      </c>
      <c r="D203" s="38" t="s">
        <v>26</v>
      </c>
      <c r="E203" s="38"/>
      <c r="F203" s="38"/>
      <c r="G203" s="38"/>
      <c r="H203" s="38">
        <v>1</v>
      </c>
      <c r="I203" s="38"/>
      <c r="J203" s="38"/>
      <c r="K203" s="38">
        <v>5616</v>
      </c>
      <c r="L203" s="38" t="s">
        <v>518</v>
      </c>
      <c r="M203" s="73" t="s">
        <v>519</v>
      </c>
      <c r="N203" s="38">
        <v>4394.71</v>
      </c>
      <c r="O203" s="38">
        <v>100</v>
      </c>
      <c r="P203" s="38">
        <v>300</v>
      </c>
      <c r="Q203" s="38">
        <v>3035</v>
      </c>
      <c r="R203" s="38">
        <v>12</v>
      </c>
      <c r="S203" s="38">
        <v>360</v>
      </c>
      <c r="T203" s="38"/>
      <c r="U203" s="38"/>
      <c r="V203" s="38">
        <v>400</v>
      </c>
      <c r="W203" s="38">
        <v>300</v>
      </c>
      <c r="X203" s="38"/>
      <c r="Y203" s="38">
        <v>100</v>
      </c>
      <c r="Z203" s="38"/>
      <c r="AA203" s="38">
        <f>[1]参数!$B$1</f>
        <v>0.28</v>
      </c>
      <c r="AB203" s="38">
        <f>[1]参数!$B$4</f>
        <v>0.4</v>
      </c>
      <c r="AC203" s="38">
        <f>IF(R203&gt;=12,3200,IF(R203&gt;=9,2500,IF(R203&gt;=6,1800,1200)))</f>
        <v>3200</v>
      </c>
      <c r="AD203" s="38">
        <f t="shared" ref="AD203:AD209" si="132">ROUND(MIN(N203,AC203),0)</f>
        <v>3200</v>
      </c>
      <c r="AE203" s="38">
        <f t="shared" ref="AE203:AE209" si="133">AA203*AB203*AD203</f>
        <v>358.4</v>
      </c>
      <c r="AF203" s="38">
        <f t="shared" ref="AF203:AF209" si="134">ROUND(MIN(W203,AE203),0)</f>
        <v>300</v>
      </c>
      <c r="AG203" s="38">
        <f>ROUND((AF203*$AM$1),0)</f>
        <v>300</v>
      </c>
      <c r="AH203" s="86" t="s">
        <v>133</v>
      </c>
      <c r="AI203" s="86" t="s">
        <v>520</v>
      </c>
      <c r="AJ203" s="83"/>
    </row>
    <row r="204" s="45" customFormat="1" ht="18" spans="1:36">
      <c r="A204" s="68" t="s">
        <v>50</v>
      </c>
      <c r="B204" s="68" t="s">
        <v>521</v>
      </c>
      <c r="C204" s="68">
        <v>5</v>
      </c>
      <c r="D204" s="69"/>
      <c r="E204" s="68">
        <f t="shared" ref="E204:Z204" si="135">SUM(E205:E209)</f>
        <v>1</v>
      </c>
      <c r="F204" s="68">
        <f t="shared" si="135"/>
        <v>1</v>
      </c>
      <c r="G204" s="68">
        <f t="shared" si="135"/>
        <v>2</v>
      </c>
      <c r="H204" s="68">
        <f t="shared" si="135"/>
        <v>1</v>
      </c>
      <c r="I204" s="68">
        <f t="shared" si="135"/>
        <v>0</v>
      </c>
      <c r="J204" s="68">
        <f t="shared" si="135"/>
        <v>0</v>
      </c>
      <c r="K204" s="68">
        <f t="shared" si="135"/>
        <v>12716</v>
      </c>
      <c r="L204" s="68">
        <f t="shared" si="135"/>
        <v>0</v>
      </c>
      <c r="M204" s="72">
        <f t="shared" si="135"/>
        <v>0</v>
      </c>
      <c r="N204" s="68">
        <f t="shared" si="135"/>
        <v>9577</v>
      </c>
      <c r="O204" s="68">
        <f t="shared" si="135"/>
        <v>1440</v>
      </c>
      <c r="P204" s="68">
        <f t="shared" si="135"/>
        <v>320</v>
      </c>
      <c r="Q204" s="68">
        <f t="shared" si="135"/>
        <v>17818</v>
      </c>
      <c r="R204" s="68">
        <f t="shared" si="135"/>
        <v>48</v>
      </c>
      <c r="S204" s="68">
        <f t="shared" si="135"/>
        <v>540</v>
      </c>
      <c r="T204" s="68">
        <f t="shared" si="135"/>
        <v>12</v>
      </c>
      <c r="U204" s="68">
        <f t="shared" si="135"/>
        <v>360</v>
      </c>
      <c r="V204" s="68">
        <f t="shared" si="135"/>
        <v>1760</v>
      </c>
      <c r="W204" s="68">
        <f t="shared" si="135"/>
        <v>1408</v>
      </c>
      <c r="X204" s="68">
        <f t="shared" si="135"/>
        <v>0</v>
      </c>
      <c r="Y204" s="68">
        <f t="shared" si="135"/>
        <v>316</v>
      </c>
      <c r="Z204" s="68">
        <f t="shared" si="135"/>
        <v>36</v>
      </c>
      <c r="AA204" s="68"/>
      <c r="AB204" s="68"/>
      <c r="AC204" s="68"/>
      <c r="AD204" s="68"/>
      <c r="AE204" s="68"/>
      <c r="AF204" s="68">
        <f>SUM(AF205:AF209)</f>
        <v>1025</v>
      </c>
      <c r="AG204" s="68">
        <f>SUM(AG205:AG209)</f>
        <v>1025</v>
      </c>
      <c r="AH204" s="81"/>
      <c r="AI204" s="81"/>
      <c r="AJ204" s="84"/>
    </row>
    <row r="205" s="56" customFormat="1" ht="21" customHeight="1" spans="1:36">
      <c r="A205" s="38">
        <v>1</v>
      </c>
      <c r="B205" s="38" t="s">
        <v>522</v>
      </c>
      <c r="C205" s="38" t="s">
        <v>523</v>
      </c>
      <c r="D205" s="38" t="s">
        <v>87</v>
      </c>
      <c r="E205" s="38">
        <v>1</v>
      </c>
      <c r="F205" s="38"/>
      <c r="G205" s="38"/>
      <c r="H205" s="38"/>
      <c r="I205" s="38"/>
      <c r="J205" s="38"/>
      <c r="K205" s="38">
        <v>1800</v>
      </c>
      <c r="L205" s="38"/>
      <c r="M205" s="73" t="s">
        <v>128</v>
      </c>
      <c r="N205" s="38">
        <v>1300</v>
      </c>
      <c r="O205" s="38">
        <v>260</v>
      </c>
      <c r="P205" s="38"/>
      <c r="Q205" s="38">
        <v>2780</v>
      </c>
      <c r="R205" s="38">
        <v>6</v>
      </c>
      <c r="S205" s="38"/>
      <c r="T205" s="38">
        <v>6</v>
      </c>
      <c r="U205" s="38">
        <v>180</v>
      </c>
      <c r="V205" s="38">
        <v>260</v>
      </c>
      <c r="W205" s="38">
        <v>208</v>
      </c>
      <c r="X205" s="38"/>
      <c r="Y205" s="38">
        <v>52</v>
      </c>
      <c r="Z205" s="38"/>
      <c r="AA205" s="38">
        <f>[1]参数!$D$1</f>
        <v>0.096</v>
      </c>
      <c r="AB205" s="38"/>
      <c r="AC205" s="38">
        <f>IF((T205)&gt;=12,3200,IF((T205)&gt;=9,2500,IF((T205)&gt;=6,1800,1200)))</f>
        <v>1800</v>
      </c>
      <c r="AD205" s="38">
        <f>ROUND(MIN(AC205,N205),0)</f>
        <v>1300</v>
      </c>
      <c r="AE205" s="38">
        <f>AA205*AD205</f>
        <v>124.8</v>
      </c>
      <c r="AF205" s="38">
        <f>ROUND(MIN(AE205,W205),0)</f>
        <v>125</v>
      </c>
      <c r="AG205" s="38">
        <f>ROUND((AF205*$AM$1),0)</f>
        <v>125</v>
      </c>
      <c r="AH205" s="82">
        <v>45444</v>
      </c>
      <c r="AI205" s="82">
        <v>45656</v>
      </c>
      <c r="AJ205" s="83"/>
    </row>
    <row r="206" s="45" customFormat="1" ht="21" customHeight="1" spans="1:36">
      <c r="A206" s="38">
        <v>2</v>
      </c>
      <c r="B206" s="38" t="s">
        <v>524</v>
      </c>
      <c r="C206" s="38" t="s">
        <v>525</v>
      </c>
      <c r="D206" s="38" t="s">
        <v>70</v>
      </c>
      <c r="E206" s="69"/>
      <c r="F206" s="69">
        <v>1</v>
      </c>
      <c r="G206" s="69"/>
      <c r="H206" s="69"/>
      <c r="I206" s="69"/>
      <c r="J206" s="69"/>
      <c r="K206" s="69"/>
      <c r="L206" s="38"/>
      <c r="M206" s="73" t="s">
        <v>526</v>
      </c>
      <c r="N206" s="69"/>
      <c r="O206" s="69"/>
      <c r="P206" s="38">
        <v>180</v>
      </c>
      <c r="Q206" s="69"/>
      <c r="R206" s="69"/>
      <c r="S206" s="69"/>
      <c r="T206" s="69"/>
      <c r="U206" s="69"/>
      <c r="V206" s="38">
        <v>180</v>
      </c>
      <c r="W206" s="38">
        <v>144</v>
      </c>
      <c r="X206" s="38"/>
      <c r="Y206" s="38"/>
      <c r="Z206" s="38">
        <v>36</v>
      </c>
      <c r="AA206" s="69"/>
      <c r="AB206" s="69"/>
      <c r="AC206" s="69"/>
      <c r="AD206" s="69"/>
      <c r="AE206" s="38">
        <f>INT(IF(V206&lt;[1]参数!$F$9,V206*[1]参数!$F$10,[1]参数!$F$9*[1]参数!$F$10+(V206-[1]参数!$F$9)*[1]参数!$G$10))</f>
        <v>153</v>
      </c>
      <c r="AF206" s="38">
        <f>ROUND(MIN(AE206,W206),0)</f>
        <v>144</v>
      </c>
      <c r="AG206" s="38">
        <f>ROUND((AF206*$AM$1),0)</f>
        <v>144</v>
      </c>
      <c r="AH206" s="82">
        <v>45503</v>
      </c>
      <c r="AI206" s="82">
        <v>45565</v>
      </c>
      <c r="AJ206" s="83"/>
    </row>
    <row r="207" s="52" customFormat="1" ht="21" customHeight="1" spans="1:36">
      <c r="A207" s="38">
        <v>3</v>
      </c>
      <c r="B207" s="38" t="s">
        <v>524</v>
      </c>
      <c r="C207" s="38" t="s">
        <v>527</v>
      </c>
      <c r="D207" s="38" t="s">
        <v>436</v>
      </c>
      <c r="E207" s="38"/>
      <c r="F207" s="38"/>
      <c r="G207" s="38">
        <v>1</v>
      </c>
      <c r="H207" s="38"/>
      <c r="I207" s="38"/>
      <c r="J207" s="38"/>
      <c r="K207" s="38">
        <v>2600</v>
      </c>
      <c r="L207" s="38"/>
      <c r="M207" s="73" t="s">
        <v>528</v>
      </c>
      <c r="N207" s="38">
        <v>2200</v>
      </c>
      <c r="O207" s="38">
        <v>440</v>
      </c>
      <c r="P207" s="38"/>
      <c r="Q207" s="38">
        <v>5600</v>
      </c>
      <c r="R207" s="38">
        <v>15</v>
      </c>
      <c r="S207" s="38">
        <f>U207</f>
        <v>90</v>
      </c>
      <c r="T207" s="38">
        <v>3</v>
      </c>
      <c r="U207" s="38">
        <v>90</v>
      </c>
      <c r="V207" s="38">
        <v>440</v>
      </c>
      <c r="W207" s="38">
        <f>V207*0.8</f>
        <v>352</v>
      </c>
      <c r="X207" s="38"/>
      <c r="Y207" s="38">
        <f t="shared" ref="Y207:Y209" si="136">0.2*V207</f>
        <v>88</v>
      </c>
      <c r="Z207" s="38"/>
      <c r="AA207" s="38">
        <f>[1]参数!$B$1</f>
        <v>0.28</v>
      </c>
      <c r="AB207" s="38">
        <f>[1]参数!$B$3</f>
        <v>0.6</v>
      </c>
      <c r="AC207" s="38">
        <f>IF(T207&gt;=12,3200,IF(T207&gt;=9,2500,IF(T207&gt;=6,1800,1200)))</f>
        <v>1200</v>
      </c>
      <c r="AD207" s="38">
        <f t="shared" si="132"/>
        <v>1200</v>
      </c>
      <c r="AE207" s="38">
        <f t="shared" si="133"/>
        <v>201.6</v>
      </c>
      <c r="AF207" s="38">
        <f t="shared" si="134"/>
        <v>202</v>
      </c>
      <c r="AG207" s="38">
        <f>ROUND((AF207*$AM$1),0)</f>
        <v>202</v>
      </c>
      <c r="AH207" s="82">
        <v>45352</v>
      </c>
      <c r="AI207" s="82">
        <v>45627</v>
      </c>
      <c r="AJ207" s="85"/>
    </row>
    <row r="208" s="52" customFormat="1" ht="21" customHeight="1" spans="1:36">
      <c r="A208" s="38">
        <v>4</v>
      </c>
      <c r="B208" s="38" t="s">
        <v>524</v>
      </c>
      <c r="C208" s="38" t="s">
        <v>529</v>
      </c>
      <c r="D208" s="38" t="s">
        <v>436</v>
      </c>
      <c r="E208" s="38"/>
      <c r="F208" s="38"/>
      <c r="G208" s="38">
        <v>1</v>
      </c>
      <c r="H208" s="38"/>
      <c r="I208" s="38"/>
      <c r="J208" s="38"/>
      <c r="K208" s="38">
        <v>2700</v>
      </c>
      <c r="L208" s="38"/>
      <c r="M208" s="73" t="s">
        <v>528</v>
      </c>
      <c r="N208" s="38">
        <v>2200</v>
      </c>
      <c r="O208" s="38">
        <v>440</v>
      </c>
      <c r="P208" s="38"/>
      <c r="Q208" s="38">
        <v>5561</v>
      </c>
      <c r="R208" s="38">
        <v>15</v>
      </c>
      <c r="S208" s="38">
        <f>U208</f>
        <v>90</v>
      </c>
      <c r="T208" s="38">
        <v>3</v>
      </c>
      <c r="U208" s="38">
        <v>90</v>
      </c>
      <c r="V208" s="38">
        <v>440</v>
      </c>
      <c r="W208" s="38">
        <f>V208*0.8</f>
        <v>352</v>
      </c>
      <c r="X208" s="38"/>
      <c r="Y208" s="38">
        <f t="shared" si="136"/>
        <v>88</v>
      </c>
      <c r="Z208" s="38"/>
      <c r="AA208" s="38">
        <f>[1]参数!$B$1</f>
        <v>0.28</v>
      </c>
      <c r="AB208" s="38">
        <f>[1]参数!$B$3</f>
        <v>0.6</v>
      </c>
      <c r="AC208" s="38">
        <f>IF(T208&gt;=12,3200,IF(T208&gt;=9,2500,IF(T208&gt;=6,1800,1200)))</f>
        <v>1200</v>
      </c>
      <c r="AD208" s="38">
        <f t="shared" si="132"/>
        <v>1200</v>
      </c>
      <c r="AE208" s="38">
        <f t="shared" si="133"/>
        <v>201.6</v>
      </c>
      <c r="AF208" s="38">
        <f t="shared" si="134"/>
        <v>202</v>
      </c>
      <c r="AG208" s="38">
        <f>ROUND((AF208*$AM$1),0)</f>
        <v>202</v>
      </c>
      <c r="AH208" s="82">
        <v>45352</v>
      </c>
      <c r="AI208" s="82">
        <v>45627</v>
      </c>
      <c r="AJ208" s="85"/>
    </row>
    <row r="209" s="50" customFormat="1" ht="21" customHeight="1" spans="1:36">
      <c r="A209" s="38">
        <v>5</v>
      </c>
      <c r="B209" s="38" t="s">
        <v>530</v>
      </c>
      <c r="C209" s="38" t="s">
        <v>531</v>
      </c>
      <c r="D209" s="38" t="s">
        <v>26</v>
      </c>
      <c r="E209" s="38"/>
      <c r="F209" s="38"/>
      <c r="G209" s="38"/>
      <c r="H209" s="38">
        <v>1</v>
      </c>
      <c r="I209" s="38"/>
      <c r="J209" s="38"/>
      <c r="K209" s="38">
        <v>5616</v>
      </c>
      <c r="L209" s="38"/>
      <c r="M209" s="73" t="s">
        <v>519</v>
      </c>
      <c r="N209" s="38">
        <v>3877</v>
      </c>
      <c r="O209" s="38">
        <v>300</v>
      </c>
      <c r="P209" s="38">
        <v>140</v>
      </c>
      <c r="Q209" s="38">
        <v>3877</v>
      </c>
      <c r="R209" s="38">
        <v>12</v>
      </c>
      <c r="S209" s="38">
        <v>360</v>
      </c>
      <c r="T209" s="38"/>
      <c r="U209" s="38"/>
      <c r="V209" s="38">
        <v>440</v>
      </c>
      <c r="W209" s="38">
        <f>0.8*V209</f>
        <v>352</v>
      </c>
      <c r="X209" s="38"/>
      <c r="Y209" s="38">
        <f t="shared" si="136"/>
        <v>88</v>
      </c>
      <c r="Z209" s="38"/>
      <c r="AA209" s="38">
        <f>[1]参数!$B$1</f>
        <v>0.28</v>
      </c>
      <c r="AB209" s="38">
        <f>[1]参数!$B$4</f>
        <v>0.4</v>
      </c>
      <c r="AC209" s="38">
        <f>IF(R209&gt;=12,3200,IF(R209&gt;=9,2500,IF(R209&gt;=6,1800,1200)))</f>
        <v>3200</v>
      </c>
      <c r="AD209" s="38">
        <f t="shared" si="132"/>
        <v>3200</v>
      </c>
      <c r="AE209" s="38">
        <f t="shared" si="133"/>
        <v>358.4</v>
      </c>
      <c r="AF209" s="38">
        <f t="shared" si="134"/>
        <v>352</v>
      </c>
      <c r="AG209" s="38">
        <f>ROUND((AF209*$AM$1),0)</f>
        <v>352</v>
      </c>
      <c r="AH209" s="86" t="s">
        <v>260</v>
      </c>
      <c r="AI209" s="86" t="s">
        <v>261</v>
      </c>
      <c r="AJ209" s="83"/>
    </row>
    <row r="210" s="45" customFormat="1" ht="18" spans="1:36">
      <c r="A210" s="68" t="s">
        <v>59</v>
      </c>
      <c r="B210" s="68" t="s">
        <v>532</v>
      </c>
      <c r="C210" s="68">
        <v>2</v>
      </c>
      <c r="D210" s="69"/>
      <c r="E210" s="68">
        <f t="shared" ref="E210:Z210" si="137">SUM(E211:E212)</f>
        <v>0</v>
      </c>
      <c r="F210" s="68">
        <f t="shared" si="137"/>
        <v>2</v>
      </c>
      <c r="G210" s="68">
        <f t="shared" si="137"/>
        <v>0</v>
      </c>
      <c r="H210" s="68">
        <f t="shared" si="137"/>
        <v>0</v>
      </c>
      <c r="I210" s="68">
        <f t="shared" si="137"/>
        <v>0</v>
      </c>
      <c r="J210" s="68">
        <f t="shared" si="137"/>
        <v>0</v>
      </c>
      <c r="K210" s="68">
        <f t="shared" si="137"/>
        <v>0</v>
      </c>
      <c r="L210" s="68">
        <f t="shared" si="137"/>
        <v>0</v>
      </c>
      <c r="M210" s="72">
        <f t="shared" si="137"/>
        <v>0</v>
      </c>
      <c r="N210" s="68">
        <f t="shared" si="137"/>
        <v>0</v>
      </c>
      <c r="O210" s="68">
        <f t="shared" si="137"/>
        <v>0</v>
      </c>
      <c r="P210" s="68">
        <f t="shared" si="137"/>
        <v>410</v>
      </c>
      <c r="Q210" s="68">
        <f t="shared" si="137"/>
        <v>0</v>
      </c>
      <c r="R210" s="68">
        <f t="shared" si="137"/>
        <v>0</v>
      </c>
      <c r="S210" s="68">
        <f t="shared" si="137"/>
        <v>0</v>
      </c>
      <c r="T210" s="68">
        <f t="shared" si="137"/>
        <v>0</v>
      </c>
      <c r="U210" s="68">
        <f t="shared" si="137"/>
        <v>0</v>
      </c>
      <c r="V210" s="68">
        <f t="shared" si="137"/>
        <v>410</v>
      </c>
      <c r="W210" s="68">
        <f t="shared" si="137"/>
        <v>370</v>
      </c>
      <c r="X210" s="68">
        <f t="shared" si="137"/>
        <v>0</v>
      </c>
      <c r="Y210" s="68">
        <f t="shared" si="137"/>
        <v>40</v>
      </c>
      <c r="Z210" s="68">
        <f t="shared" si="137"/>
        <v>0</v>
      </c>
      <c r="AA210" s="68"/>
      <c r="AB210" s="68"/>
      <c r="AC210" s="68"/>
      <c r="AD210" s="68"/>
      <c r="AE210" s="68"/>
      <c r="AF210" s="68">
        <f>SUM(AF211:AF212)</f>
        <v>342</v>
      </c>
      <c r="AG210" s="68">
        <f>SUM(AG211:AG212)</f>
        <v>342</v>
      </c>
      <c r="AH210" s="81"/>
      <c r="AI210" s="81"/>
      <c r="AJ210" s="84"/>
    </row>
    <row r="211" s="45" customFormat="1" ht="20" customHeight="1" spans="1:36">
      <c r="A211" s="38">
        <v>1</v>
      </c>
      <c r="B211" s="38" t="s">
        <v>533</v>
      </c>
      <c r="C211" s="38" t="s">
        <v>534</v>
      </c>
      <c r="D211" s="38" t="s">
        <v>70</v>
      </c>
      <c r="E211" s="69"/>
      <c r="F211" s="69">
        <v>1</v>
      </c>
      <c r="G211" s="69"/>
      <c r="H211" s="69"/>
      <c r="I211" s="69"/>
      <c r="J211" s="69"/>
      <c r="K211" s="69"/>
      <c r="L211" s="38"/>
      <c r="M211" s="73" t="s">
        <v>535</v>
      </c>
      <c r="N211" s="69"/>
      <c r="O211" s="69"/>
      <c r="P211" s="38">
        <v>200</v>
      </c>
      <c r="Q211" s="69"/>
      <c r="R211" s="69"/>
      <c r="S211" s="69"/>
      <c r="T211" s="69"/>
      <c r="U211" s="69"/>
      <c r="V211" s="38">
        <v>200</v>
      </c>
      <c r="W211" s="38">
        <v>180</v>
      </c>
      <c r="X211" s="38"/>
      <c r="Y211" s="38">
        <v>20</v>
      </c>
      <c r="Z211" s="38"/>
      <c r="AA211" s="69"/>
      <c r="AB211" s="69"/>
      <c r="AC211" s="69"/>
      <c r="AD211" s="69"/>
      <c r="AE211" s="38">
        <f>INT(IF(V211&lt;[1]参数!$F$9,V211*[1]参数!$F$10,[1]参数!$F$9*[1]参数!$F$10+(V211-[1]参数!$F$9)*[1]参数!$G$10))</f>
        <v>170</v>
      </c>
      <c r="AF211" s="38">
        <f t="shared" ref="AF211:AF215" si="138">ROUND(MIN(AE211,W211),0)</f>
        <v>170</v>
      </c>
      <c r="AG211" s="38">
        <f>ROUND((AF211*$AM$1),0)</f>
        <v>170</v>
      </c>
      <c r="AH211" s="82">
        <v>45352</v>
      </c>
      <c r="AI211" s="82">
        <v>45473</v>
      </c>
      <c r="AJ211" s="83"/>
    </row>
    <row r="212" s="45" customFormat="1" ht="20" customHeight="1" spans="1:36">
      <c r="A212" s="38">
        <v>2</v>
      </c>
      <c r="B212" s="38" t="s">
        <v>536</v>
      </c>
      <c r="C212" s="38" t="s">
        <v>537</v>
      </c>
      <c r="D212" s="38" t="s">
        <v>70</v>
      </c>
      <c r="E212" s="69"/>
      <c r="F212" s="69">
        <v>1</v>
      </c>
      <c r="G212" s="69"/>
      <c r="H212" s="69"/>
      <c r="I212" s="69"/>
      <c r="J212" s="69"/>
      <c r="K212" s="69"/>
      <c r="L212" s="38"/>
      <c r="M212" s="73" t="s">
        <v>538</v>
      </c>
      <c r="N212" s="69"/>
      <c r="O212" s="69"/>
      <c r="P212" s="38">
        <v>210</v>
      </c>
      <c r="Q212" s="69"/>
      <c r="R212" s="69"/>
      <c r="S212" s="69"/>
      <c r="T212" s="69"/>
      <c r="U212" s="69"/>
      <c r="V212" s="38">
        <v>210</v>
      </c>
      <c r="W212" s="38">
        <v>190</v>
      </c>
      <c r="X212" s="38"/>
      <c r="Y212" s="38">
        <v>20</v>
      </c>
      <c r="Z212" s="38"/>
      <c r="AA212" s="69"/>
      <c r="AB212" s="69"/>
      <c r="AC212" s="69"/>
      <c r="AD212" s="69"/>
      <c r="AE212" s="38">
        <f>INT(IF(V212&lt;[1]参数!$F$9,V212*[1]参数!$F$10,[1]参数!$F$9*[1]参数!$F$10+(V212-[1]参数!$F$9)*[1]参数!$G$10))</f>
        <v>172</v>
      </c>
      <c r="AF212" s="38">
        <f t="shared" si="138"/>
        <v>172</v>
      </c>
      <c r="AG212" s="38">
        <f>ROUND((AF212*$AM$1),0)</f>
        <v>172</v>
      </c>
      <c r="AH212" s="82">
        <v>45352</v>
      </c>
      <c r="AI212" s="82">
        <v>45473</v>
      </c>
      <c r="AJ212" s="83"/>
    </row>
    <row r="213" s="45" customFormat="1" ht="20" customHeight="1" spans="1:36">
      <c r="A213" s="68" t="s">
        <v>66</v>
      </c>
      <c r="B213" s="68" t="s">
        <v>539</v>
      </c>
      <c r="C213" s="68">
        <v>2</v>
      </c>
      <c r="D213" s="69"/>
      <c r="E213" s="68">
        <f t="shared" ref="E213:Z213" si="139">SUM(E214:E215)</f>
        <v>0</v>
      </c>
      <c r="F213" s="68">
        <f t="shared" si="139"/>
        <v>2</v>
      </c>
      <c r="G213" s="68">
        <f t="shared" si="139"/>
        <v>0</v>
      </c>
      <c r="H213" s="68">
        <f t="shared" si="139"/>
        <v>0</v>
      </c>
      <c r="I213" s="68">
        <f t="shared" si="139"/>
        <v>0</v>
      </c>
      <c r="J213" s="68">
        <f t="shared" si="139"/>
        <v>0</v>
      </c>
      <c r="K213" s="68">
        <f t="shared" si="139"/>
        <v>0</v>
      </c>
      <c r="L213" s="68">
        <f t="shared" si="139"/>
        <v>0</v>
      </c>
      <c r="M213" s="72">
        <f t="shared" si="139"/>
        <v>0</v>
      </c>
      <c r="N213" s="68">
        <f t="shared" si="139"/>
        <v>0</v>
      </c>
      <c r="O213" s="68">
        <f t="shared" si="139"/>
        <v>0</v>
      </c>
      <c r="P213" s="68">
        <f t="shared" si="139"/>
        <v>600</v>
      </c>
      <c r="Q213" s="68">
        <f t="shared" si="139"/>
        <v>0</v>
      </c>
      <c r="R213" s="68">
        <f t="shared" si="139"/>
        <v>0</v>
      </c>
      <c r="S213" s="68">
        <f t="shared" si="139"/>
        <v>0</v>
      </c>
      <c r="T213" s="68">
        <f t="shared" si="139"/>
        <v>0</v>
      </c>
      <c r="U213" s="68">
        <f t="shared" si="139"/>
        <v>0</v>
      </c>
      <c r="V213" s="68">
        <f t="shared" si="139"/>
        <v>600</v>
      </c>
      <c r="W213" s="68">
        <f t="shared" si="139"/>
        <v>480</v>
      </c>
      <c r="X213" s="68">
        <f t="shared" si="139"/>
        <v>0</v>
      </c>
      <c r="Y213" s="68">
        <f t="shared" si="139"/>
        <v>120</v>
      </c>
      <c r="Z213" s="68">
        <f t="shared" si="139"/>
        <v>0</v>
      </c>
      <c r="AA213" s="68"/>
      <c r="AB213" s="68"/>
      <c r="AC213" s="68"/>
      <c r="AD213" s="68"/>
      <c r="AE213" s="68"/>
      <c r="AF213" s="68">
        <f>SUM(AF214:AF215)</f>
        <v>390</v>
      </c>
      <c r="AG213" s="68">
        <f>SUM(AG214:AG215)</f>
        <v>390</v>
      </c>
      <c r="AH213" s="81"/>
      <c r="AI213" s="81"/>
      <c r="AJ213" s="84"/>
    </row>
    <row r="214" s="45" customFormat="1" ht="20" customHeight="1" spans="1:36">
      <c r="A214" s="38">
        <v>1</v>
      </c>
      <c r="B214" s="38" t="s">
        <v>540</v>
      </c>
      <c r="C214" s="38" t="s">
        <v>264</v>
      </c>
      <c r="D214" s="38" t="s">
        <v>70</v>
      </c>
      <c r="E214" s="69"/>
      <c r="F214" s="69">
        <v>1</v>
      </c>
      <c r="G214" s="69"/>
      <c r="H214" s="69"/>
      <c r="I214" s="69"/>
      <c r="J214" s="69"/>
      <c r="K214" s="69"/>
      <c r="L214" s="38"/>
      <c r="M214" s="73" t="s">
        <v>541</v>
      </c>
      <c r="N214" s="69"/>
      <c r="O214" s="69"/>
      <c r="P214" s="38">
        <v>300</v>
      </c>
      <c r="Q214" s="69"/>
      <c r="R214" s="69"/>
      <c r="S214" s="69"/>
      <c r="T214" s="69"/>
      <c r="U214" s="69"/>
      <c r="V214" s="38">
        <v>300</v>
      </c>
      <c r="W214" s="38">
        <v>240</v>
      </c>
      <c r="X214" s="38"/>
      <c r="Y214" s="38">
        <v>60</v>
      </c>
      <c r="Z214" s="38"/>
      <c r="AA214" s="69"/>
      <c r="AB214" s="69"/>
      <c r="AC214" s="69"/>
      <c r="AD214" s="69"/>
      <c r="AE214" s="38">
        <f>INT(IF(V214&lt;[1]参数!$F$9,V214*[1]参数!$F$10,[1]参数!$F$9*[1]参数!$F$10+(V214-[1]参数!$F$9)*[1]参数!$G$10))</f>
        <v>195</v>
      </c>
      <c r="AF214" s="38">
        <f t="shared" si="138"/>
        <v>195</v>
      </c>
      <c r="AG214" s="38">
        <f>ROUND((AF214*$AM$1),0)</f>
        <v>195</v>
      </c>
      <c r="AH214" s="82">
        <v>45505</v>
      </c>
      <c r="AI214" s="82">
        <v>45566</v>
      </c>
      <c r="AJ214" s="83"/>
    </row>
    <row r="215" s="45" customFormat="1" ht="20" customHeight="1" spans="1:36">
      <c r="A215" s="38">
        <v>2</v>
      </c>
      <c r="B215" s="38" t="s">
        <v>542</v>
      </c>
      <c r="C215" s="38" t="s">
        <v>543</v>
      </c>
      <c r="D215" s="38" t="s">
        <v>70</v>
      </c>
      <c r="E215" s="69"/>
      <c r="F215" s="69">
        <v>1</v>
      </c>
      <c r="G215" s="69"/>
      <c r="H215" s="69"/>
      <c r="I215" s="69"/>
      <c r="J215" s="69"/>
      <c r="K215" s="69"/>
      <c r="L215" s="38"/>
      <c r="M215" s="73" t="s">
        <v>541</v>
      </c>
      <c r="N215" s="69"/>
      <c r="O215" s="69"/>
      <c r="P215" s="38">
        <v>300</v>
      </c>
      <c r="Q215" s="69"/>
      <c r="R215" s="69"/>
      <c r="S215" s="69"/>
      <c r="T215" s="69"/>
      <c r="U215" s="69"/>
      <c r="V215" s="38">
        <v>300</v>
      </c>
      <c r="W215" s="38">
        <v>240</v>
      </c>
      <c r="X215" s="38"/>
      <c r="Y215" s="38">
        <v>60</v>
      </c>
      <c r="Z215" s="38"/>
      <c r="AA215" s="69"/>
      <c r="AB215" s="69"/>
      <c r="AC215" s="69"/>
      <c r="AD215" s="69"/>
      <c r="AE215" s="38">
        <f>INT(IF(V215&lt;[1]参数!$F$9,V215*[1]参数!$F$10,[1]参数!$F$9*[1]参数!$F$10+(V215-[1]参数!$F$9)*[1]参数!$G$10))</f>
        <v>195</v>
      </c>
      <c r="AF215" s="38">
        <f t="shared" si="138"/>
        <v>195</v>
      </c>
      <c r="AG215" s="38">
        <f>ROUND((AF215*$AM$1),0)</f>
        <v>195</v>
      </c>
      <c r="AH215" s="82">
        <v>45505</v>
      </c>
      <c r="AI215" s="82">
        <v>45566</v>
      </c>
      <c r="AJ215" s="83"/>
    </row>
    <row r="216" s="45" customFormat="1" ht="20" customHeight="1" spans="1:36">
      <c r="A216" s="68" t="s">
        <v>83</v>
      </c>
      <c r="B216" s="68" t="s">
        <v>544</v>
      </c>
      <c r="C216" s="68">
        <v>4</v>
      </c>
      <c r="D216" s="69"/>
      <c r="E216" s="68">
        <f t="shared" ref="E216:Z216" si="140">SUM(E217:E220)</f>
        <v>0</v>
      </c>
      <c r="F216" s="68">
        <f t="shared" si="140"/>
        <v>2</v>
      </c>
      <c r="G216" s="68">
        <f t="shared" si="140"/>
        <v>2</v>
      </c>
      <c r="H216" s="68">
        <f t="shared" si="140"/>
        <v>0</v>
      </c>
      <c r="I216" s="68">
        <f t="shared" si="140"/>
        <v>0</v>
      </c>
      <c r="J216" s="68">
        <f t="shared" si="140"/>
        <v>0</v>
      </c>
      <c r="K216" s="68">
        <f t="shared" si="140"/>
        <v>1914</v>
      </c>
      <c r="L216" s="68">
        <f t="shared" si="140"/>
        <v>0</v>
      </c>
      <c r="M216" s="72">
        <f t="shared" si="140"/>
        <v>0</v>
      </c>
      <c r="N216" s="68">
        <f t="shared" si="140"/>
        <v>3804</v>
      </c>
      <c r="O216" s="68">
        <f t="shared" si="140"/>
        <v>370</v>
      </c>
      <c r="P216" s="68">
        <f t="shared" si="140"/>
        <v>420</v>
      </c>
      <c r="Q216" s="68">
        <f t="shared" si="140"/>
        <v>6205.25</v>
      </c>
      <c r="R216" s="68">
        <f t="shared" si="140"/>
        <v>19</v>
      </c>
      <c r="S216" s="68">
        <f t="shared" si="140"/>
        <v>90</v>
      </c>
      <c r="T216" s="68">
        <f t="shared" si="140"/>
        <v>3</v>
      </c>
      <c r="U216" s="68">
        <f t="shared" si="140"/>
        <v>90</v>
      </c>
      <c r="V216" s="68">
        <f t="shared" si="140"/>
        <v>790</v>
      </c>
      <c r="W216" s="68">
        <f t="shared" si="140"/>
        <v>580</v>
      </c>
      <c r="X216" s="68">
        <f t="shared" si="140"/>
        <v>0</v>
      </c>
      <c r="Y216" s="68">
        <f t="shared" si="140"/>
        <v>210</v>
      </c>
      <c r="Z216" s="68">
        <f t="shared" si="140"/>
        <v>0</v>
      </c>
      <c r="AA216" s="68"/>
      <c r="AB216" s="68"/>
      <c r="AC216" s="68"/>
      <c r="AD216" s="68"/>
      <c r="AE216" s="68"/>
      <c r="AF216" s="68">
        <f>SUM(AF217:AF220)</f>
        <v>514</v>
      </c>
      <c r="AG216" s="68">
        <f>SUM(AG217:AG220)</f>
        <v>514</v>
      </c>
      <c r="AH216" s="81"/>
      <c r="AI216" s="81"/>
      <c r="AJ216" s="84"/>
    </row>
    <row r="217" s="45" customFormat="1" ht="20" customHeight="1" spans="1:36">
      <c r="A217" s="38">
        <v>1</v>
      </c>
      <c r="B217" s="38" t="s">
        <v>545</v>
      </c>
      <c r="C217" s="38" t="s">
        <v>143</v>
      </c>
      <c r="D217" s="38" t="s">
        <v>70</v>
      </c>
      <c r="E217" s="69"/>
      <c r="F217" s="69">
        <v>1</v>
      </c>
      <c r="G217" s="69"/>
      <c r="H217" s="69"/>
      <c r="I217" s="69"/>
      <c r="J217" s="69"/>
      <c r="K217" s="69"/>
      <c r="L217" s="38"/>
      <c r="M217" s="73" t="s">
        <v>546</v>
      </c>
      <c r="N217" s="69"/>
      <c r="O217" s="69"/>
      <c r="P217" s="38">
        <v>200</v>
      </c>
      <c r="Q217" s="69"/>
      <c r="R217" s="69"/>
      <c r="S217" s="69"/>
      <c r="T217" s="69"/>
      <c r="U217" s="69"/>
      <c r="V217" s="38">
        <v>200</v>
      </c>
      <c r="W217" s="38">
        <v>150</v>
      </c>
      <c r="X217" s="38"/>
      <c r="Y217" s="38">
        <v>50</v>
      </c>
      <c r="Z217" s="38"/>
      <c r="AA217" s="69"/>
      <c r="AB217" s="69"/>
      <c r="AC217" s="69"/>
      <c r="AD217" s="69"/>
      <c r="AE217" s="38">
        <f>INT(IF(V217&lt;[1]参数!$F$9,V217*[1]参数!$F$10,[1]参数!$F$9*[1]参数!$F$10+(V217-[1]参数!$F$9)*[1]参数!$G$10))</f>
        <v>170</v>
      </c>
      <c r="AF217" s="38">
        <f>ROUND(MIN(AE217,W217),0)</f>
        <v>150</v>
      </c>
      <c r="AG217" s="38">
        <f>ROUND((AF217*$AM$1),0)</f>
        <v>150</v>
      </c>
      <c r="AH217" s="82">
        <v>45444</v>
      </c>
      <c r="AI217" s="82">
        <v>45536</v>
      </c>
      <c r="AJ217" s="83"/>
    </row>
    <row r="218" s="45" customFormat="1" ht="20" customHeight="1" spans="1:36">
      <c r="A218" s="38">
        <v>2</v>
      </c>
      <c r="B218" s="38" t="s">
        <v>545</v>
      </c>
      <c r="C218" s="38" t="s">
        <v>547</v>
      </c>
      <c r="D218" s="38" t="s">
        <v>70</v>
      </c>
      <c r="E218" s="69"/>
      <c r="F218" s="69">
        <v>1</v>
      </c>
      <c r="G218" s="69"/>
      <c r="H218" s="69"/>
      <c r="I218" s="69"/>
      <c r="J218" s="69"/>
      <c r="K218" s="69"/>
      <c r="L218" s="38"/>
      <c r="M218" s="73" t="s">
        <v>548</v>
      </c>
      <c r="N218" s="69"/>
      <c r="O218" s="69"/>
      <c r="P218" s="38">
        <v>220</v>
      </c>
      <c r="Q218" s="69"/>
      <c r="R218" s="69"/>
      <c r="S218" s="69"/>
      <c r="T218" s="69"/>
      <c r="U218" s="69"/>
      <c r="V218" s="38">
        <v>220</v>
      </c>
      <c r="W218" s="38">
        <v>110</v>
      </c>
      <c r="X218" s="38"/>
      <c r="Y218" s="38">
        <v>110</v>
      </c>
      <c r="Z218" s="38"/>
      <c r="AA218" s="69"/>
      <c r="AB218" s="69"/>
      <c r="AC218" s="69"/>
      <c r="AD218" s="69"/>
      <c r="AE218" s="38">
        <f>INT(IF(V218&lt;[1]参数!$F$9,V218*[1]参数!$F$10,[1]参数!$F$9*[1]参数!$F$10+(V218-[1]参数!$F$9)*[1]参数!$G$10))</f>
        <v>175</v>
      </c>
      <c r="AF218" s="38">
        <f>ROUND(MIN(AE218,W218),0)</f>
        <v>110</v>
      </c>
      <c r="AG218" s="38">
        <f>ROUND((AF218*$AM$1),0)</f>
        <v>110</v>
      </c>
      <c r="AH218" s="82">
        <v>45444</v>
      </c>
      <c r="AI218" s="82">
        <v>45536</v>
      </c>
      <c r="AJ218" s="83"/>
    </row>
    <row r="219" s="52" customFormat="1" ht="20" customHeight="1" spans="1:36">
      <c r="A219" s="38">
        <v>3</v>
      </c>
      <c r="B219" s="38" t="s">
        <v>545</v>
      </c>
      <c r="C219" s="38" t="s">
        <v>547</v>
      </c>
      <c r="D219" s="38" t="s">
        <v>178</v>
      </c>
      <c r="E219" s="38"/>
      <c r="F219" s="38"/>
      <c r="G219" s="38">
        <v>1</v>
      </c>
      <c r="H219" s="38"/>
      <c r="I219" s="38"/>
      <c r="J219" s="38"/>
      <c r="K219" s="38">
        <v>600</v>
      </c>
      <c r="L219" s="38" t="s">
        <v>549</v>
      </c>
      <c r="M219" s="73" t="s">
        <v>550</v>
      </c>
      <c r="N219" s="38">
        <v>1600</v>
      </c>
      <c r="O219" s="38">
        <v>150</v>
      </c>
      <c r="P219" s="38">
        <v>0</v>
      </c>
      <c r="Q219" s="38">
        <v>4001.25</v>
      </c>
      <c r="R219" s="38">
        <v>12</v>
      </c>
      <c r="S219" s="38">
        <f>U219</f>
        <v>30</v>
      </c>
      <c r="T219" s="38">
        <v>1</v>
      </c>
      <c r="U219" s="38">
        <v>30</v>
      </c>
      <c r="V219" s="38">
        <v>150</v>
      </c>
      <c r="W219" s="38">
        <v>120</v>
      </c>
      <c r="X219" s="38"/>
      <c r="Y219" s="38">
        <v>30</v>
      </c>
      <c r="Z219" s="38"/>
      <c r="AA219" s="38">
        <f>[1]参数!$B$1</f>
        <v>0.28</v>
      </c>
      <c r="AB219" s="38">
        <f>[1]参数!C3</f>
        <v>0.4</v>
      </c>
      <c r="AC219" s="38">
        <f>IF(T219&gt;=12,3200,IF(T219&gt;=9,2500,IF(T219&gt;=6,1800,1200)))</f>
        <v>1200</v>
      </c>
      <c r="AD219" s="38">
        <f>ROUND(MIN(N219,AC219),0)</f>
        <v>1200</v>
      </c>
      <c r="AE219" s="38">
        <f>AA219*AB219*AD219</f>
        <v>134.4</v>
      </c>
      <c r="AF219" s="38">
        <f>ROUND(MIN(W219,AE219),0)</f>
        <v>120</v>
      </c>
      <c r="AG219" s="38">
        <f>ROUND((AF219*$AM$1),0)</f>
        <v>120</v>
      </c>
      <c r="AH219" s="82">
        <v>45444</v>
      </c>
      <c r="AI219" s="82">
        <v>45597</v>
      </c>
      <c r="AJ219" s="85"/>
    </row>
    <row r="220" s="52" customFormat="1" ht="20" customHeight="1" spans="1:36">
      <c r="A220" s="38">
        <v>4</v>
      </c>
      <c r="B220" s="38" t="s">
        <v>545</v>
      </c>
      <c r="C220" s="38" t="s">
        <v>551</v>
      </c>
      <c r="D220" s="38" t="s">
        <v>178</v>
      </c>
      <c r="E220" s="38"/>
      <c r="F220" s="38"/>
      <c r="G220" s="38">
        <v>1</v>
      </c>
      <c r="H220" s="38"/>
      <c r="I220" s="38"/>
      <c r="J220" s="38"/>
      <c r="K220" s="38">
        <v>1314</v>
      </c>
      <c r="L220" s="38"/>
      <c r="M220" s="73" t="s">
        <v>552</v>
      </c>
      <c r="N220" s="38">
        <v>2204</v>
      </c>
      <c r="O220" s="38">
        <v>220</v>
      </c>
      <c r="P220" s="38">
        <v>0</v>
      </c>
      <c r="Q220" s="38">
        <v>2204</v>
      </c>
      <c r="R220" s="38">
        <v>7</v>
      </c>
      <c r="S220" s="38">
        <f>U220</f>
        <v>60</v>
      </c>
      <c r="T220" s="38">
        <v>2</v>
      </c>
      <c r="U220" s="38">
        <v>60</v>
      </c>
      <c r="V220" s="38">
        <v>220</v>
      </c>
      <c r="W220" s="38">
        <v>200</v>
      </c>
      <c r="X220" s="38"/>
      <c r="Y220" s="38">
        <v>20</v>
      </c>
      <c r="Z220" s="38"/>
      <c r="AA220" s="38">
        <f>[1]参数!$B$1</f>
        <v>0.28</v>
      </c>
      <c r="AB220" s="38">
        <f>[1]参数!C3</f>
        <v>0.4</v>
      </c>
      <c r="AC220" s="38">
        <f>IF(T220&gt;=12,3200,IF(T220&gt;=9,2500,IF(T220&gt;=6,1800,1200)))</f>
        <v>1200</v>
      </c>
      <c r="AD220" s="38">
        <f>ROUND(MIN(N220,AC220),0)</f>
        <v>1200</v>
      </c>
      <c r="AE220" s="38">
        <f>AA220*AB220*AD220</f>
        <v>134.4</v>
      </c>
      <c r="AF220" s="38">
        <f>ROUND(MIN(W220,AE220),0)</f>
        <v>134</v>
      </c>
      <c r="AG220" s="38">
        <f>ROUND((AF220*$AM$1),0)</f>
        <v>134</v>
      </c>
      <c r="AH220" s="82">
        <v>45444</v>
      </c>
      <c r="AI220" s="82">
        <v>45597</v>
      </c>
      <c r="AJ220" s="85"/>
    </row>
    <row r="221" s="45" customFormat="1" ht="20" customHeight="1" spans="1:36">
      <c r="A221" s="68" t="s">
        <v>93</v>
      </c>
      <c r="B221" s="68" t="s">
        <v>553</v>
      </c>
      <c r="C221" s="68">
        <v>2</v>
      </c>
      <c r="D221" s="69"/>
      <c r="E221" s="68">
        <f t="shared" ref="E221:Z221" si="141">SUM(E222:E223)</f>
        <v>0</v>
      </c>
      <c r="F221" s="68">
        <f t="shared" si="141"/>
        <v>2</v>
      </c>
      <c r="G221" s="68">
        <f t="shared" si="141"/>
        <v>0</v>
      </c>
      <c r="H221" s="68">
        <f t="shared" si="141"/>
        <v>0</v>
      </c>
      <c r="I221" s="68">
        <f t="shared" si="141"/>
        <v>0</v>
      </c>
      <c r="J221" s="68">
        <f t="shared" si="141"/>
        <v>0</v>
      </c>
      <c r="K221" s="68">
        <f t="shared" si="141"/>
        <v>0</v>
      </c>
      <c r="L221" s="68">
        <f t="shared" si="141"/>
        <v>0</v>
      </c>
      <c r="M221" s="72">
        <f t="shared" si="141"/>
        <v>0</v>
      </c>
      <c r="N221" s="68">
        <f t="shared" si="141"/>
        <v>0</v>
      </c>
      <c r="O221" s="68">
        <f t="shared" si="141"/>
        <v>0</v>
      </c>
      <c r="P221" s="68">
        <f t="shared" si="141"/>
        <v>300</v>
      </c>
      <c r="Q221" s="68">
        <f t="shared" si="141"/>
        <v>0</v>
      </c>
      <c r="R221" s="68">
        <f t="shared" si="141"/>
        <v>0</v>
      </c>
      <c r="S221" s="68">
        <f t="shared" si="141"/>
        <v>0</v>
      </c>
      <c r="T221" s="68">
        <f t="shared" si="141"/>
        <v>0</v>
      </c>
      <c r="U221" s="68">
        <f t="shared" si="141"/>
        <v>0</v>
      </c>
      <c r="V221" s="68">
        <f t="shared" si="141"/>
        <v>300</v>
      </c>
      <c r="W221" s="68">
        <f t="shared" si="141"/>
        <v>240</v>
      </c>
      <c r="X221" s="68">
        <f t="shared" si="141"/>
        <v>0</v>
      </c>
      <c r="Y221" s="68">
        <f t="shared" si="141"/>
        <v>60</v>
      </c>
      <c r="Z221" s="68">
        <f t="shared" si="141"/>
        <v>0</v>
      </c>
      <c r="AA221" s="68"/>
      <c r="AB221" s="68"/>
      <c r="AC221" s="68"/>
      <c r="AD221" s="68"/>
      <c r="AE221" s="68"/>
      <c r="AF221" s="68">
        <f>SUM(AF222:AF223)</f>
        <v>136</v>
      </c>
      <c r="AG221" s="68">
        <f>SUM(AG222:AG223)</f>
        <v>136</v>
      </c>
      <c r="AH221" s="81"/>
      <c r="AI221" s="81"/>
      <c r="AJ221" s="84"/>
    </row>
    <row r="222" s="45" customFormat="1" ht="21" customHeight="1" spans="1:36">
      <c r="A222" s="38">
        <v>1</v>
      </c>
      <c r="B222" s="38" t="s">
        <v>554</v>
      </c>
      <c r="C222" s="38" t="s">
        <v>555</v>
      </c>
      <c r="D222" s="38" t="s">
        <v>70</v>
      </c>
      <c r="E222" s="69"/>
      <c r="F222" s="69">
        <v>1</v>
      </c>
      <c r="G222" s="69"/>
      <c r="H222" s="69"/>
      <c r="I222" s="69"/>
      <c r="J222" s="69"/>
      <c r="K222" s="69"/>
      <c r="L222" s="38"/>
      <c r="M222" s="73" t="s">
        <v>556</v>
      </c>
      <c r="N222" s="69"/>
      <c r="O222" s="69"/>
      <c r="P222" s="38">
        <v>150</v>
      </c>
      <c r="Q222" s="69"/>
      <c r="R222" s="69"/>
      <c r="S222" s="69"/>
      <c r="T222" s="69"/>
      <c r="U222" s="69"/>
      <c r="V222" s="38">
        <v>150</v>
      </c>
      <c r="W222" s="38">
        <v>120</v>
      </c>
      <c r="X222" s="38"/>
      <c r="Y222" s="38">
        <v>30</v>
      </c>
      <c r="Z222" s="38"/>
      <c r="AA222" s="69"/>
      <c r="AB222" s="69"/>
      <c r="AC222" s="69"/>
      <c r="AD222" s="69"/>
      <c r="AE222" s="38">
        <f>INT(IF(V222&lt;[1]参数!$F$9,V222*[1]参数!$F$10,[1]参数!$F$9*[1]参数!$F$10+(V222-[1]参数!$F$9)*[1]参数!$G$10))</f>
        <v>127</v>
      </c>
      <c r="AF222" s="38">
        <f>ROUND(MIN(AE222,W222)-52.5,0)</f>
        <v>68</v>
      </c>
      <c r="AG222" s="38">
        <f>ROUND((AF222*$AM$1),0)</f>
        <v>68</v>
      </c>
      <c r="AH222" s="82">
        <v>45505</v>
      </c>
      <c r="AI222" s="82">
        <v>45627</v>
      </c>
      <c r="AJ222" s="83"/>
    </row>
    <row r="223" s="45" customFormat="1" ht="21" customHeight="1" spans="1:36">
      <c r="A223" s="38">
        <v>2</v>
      </c>
      <c r="B223" s="38" t="s">
        <v>557</v>
      </c>
      <c r="C223" s="38" t="s">
        <v>558</v>
      </c>
      <c r="D223" s="38" t="s">
        <v>70</v>
      </c>
      <c r="E223" s="69"/>
      <c r="F223" s="69">
        <v>1</v>
      </c>
      <c r="G223" s="69"/>
      <c r="H223" s="69"/>
      <c r="I223" s="69"/>
      <c r="J223" s="69"/>
      <c r="K223" s="69"/>
      <c r="L223" s="38"/>
      <c r="M223" s="73" t="s">
        <v>556</v>
      </c>
      <c r="N223" s="69"/>
      <c r="O223" s="69"/>
      <c r="P223" s="38">
        <v>150</v>
      </c>
      <c r="Q223" s="69"/>
      <c r="R223" s="69"/>
      <c r="S223" s="69"/>
      <c r="T223" s="69"/>
      <c r="U223" s="69"/>
      <c r="V223" s="38">
        <v>150</v>
      </c>
      <c r="W223" s="38">
        <v>120</v>
      </c>
      <c r="X223" s="38"/>
      <c r="Y223" s="38">
        <v>30</v>
      </c>
      <c r="Z223" s="38"/>
      <c r="AA223" s="69"/>
      <c r="AB223" s="69"/>
      <c r="AC223" s="69"/>
      <c r="AD223" s="69"/>
      <c r="AE223" s="38">
        <f>INT(IF(V223&lt;[1]参数!$F$9,V223*[1]参数!$F$10,[1]参数!$F$9*[1]参数!$F$10+(V223-[1]参数!$F$9)*[1]参数!$G$10))</f>
        <v>127</v>
      </c>
      <c r="AF223" s="38">
        <f>ROUND(MIN(AE223,W223)-52.5,0)</f>
        <v>68</v>
      </c>
      <c r="AG223" s="38">
        <f>ROUND((AF223*$AM$1),0)</f>
        <v>68</v>
      </c>
      <c r="AH223" s="82">
        <v>45505</v>
      </c>
      <c r="AI223" s="82">
        <v>45627</v>
      </c>
      <c r="AJ223" s="83"/>
    </row>
    <row r="224" s="45" customFormat="1" ht="18" spans="1:36">
      <c r="A224" s="68" t="s">
        <v>109</v>
      </c>
      <c r="B224" s="68" t="s">
        <v>559</v>
      </c>
      <c r="C224" s="68">
        <v>4</v>
      </c>
      <c r="D224" s="69"/>
      <c r="E224" s="68">
        <f t="shared" ref="E224:Z224" si="142">SUM(E225:E228)</f>
        <v>0</v>
      </c>
      <c r="F224" s="68">
        <f t="shared" si="142"/>
        <v>2</v>
      </c>
      <c r="G224" s="68">
        <f t="shared" si="142"/>
        <v>2</v>
      </c>
      <c r="H224" s="68">
        <f t="shared" si="142"/>
        <v>0</v>
      </c>
      <c r="I224" s="68">
        <f t="shared" si="142"/>
        <v>0</v>
      </c>
      <c r="J224" s="68">
        <f t="shared" si="142"/>
        <v>0</v>
      </c>
      <c r="K224" s="68">
        <f t="shared" si="142"/>
        <v>10759</v>
      </c>
      <c r="L224" s="68">
        <f t="shared" si="142"/>
        <v>0</v>
      </c>
      <c r="M224" s="72">
        <f t="shared" si="142"/>
        <v>0</v>
      </c>
      <c r="N224" s="68">
        <f t="shared" si="142"/>
        <v>1300</v>
      </c>
      <c r="O224" s="68">
        <f t="shared" si="142"/>
        <v>472</v>
      </c>
      <c r="P224" s="68">
        <f t="shared" si="142"/>
        <v>812</v>
      </c>
      <c r="Q224" s="68">
        <f t="shared" si="142"/>
        <v>6584</v>
      </c>
      <c r="R224" s="68">
        <f t="shared" si="142"/>
        <v>12</v>
      </c>
      <c r="S224" s="68">
        <f t="shared" si="142"/>
        <v>60</v>
      </c>
      <c r="T224" s="68">
        <f t="shared" si="142"/>
        <v>2</v>
      </c>
      <c r="U224" s="68">
        <f t="shared" si="142"/>
        <v>60</v>
      </c>
      <c r="V224" s="68">
        <f t="shared" si="142"/>
        <v>1284</v>
      </c>
      <c r="W224" s="68">
        <f t="shared" si="142"/>
        <v>570</v>
      </c>
      <c r="X224" s="68">
        <f t="shared" si="142"/>
        <v>0</v>
      </c>
      <c r="Y224" s="68">
        <f t="shared" si="142"/>
        <v>120</v>
      </c>
      <c r="Z224" s="68">
        <f t="shared" si="142"/>
        <v>594</v>
      </c>
      <c r="AA224" s="68"/>
      <c r="AB224" s="68"/>
      <c r="AC224" s="68"/>
      <c r="AD224" s="68"/>
      <c r="AE224" s="68"/>
      <c r="AF224" s="68">
        <f>SUM(AF225:AF228)</f>
        <v>455</v>
      </c>
      <c r="AG224" s="68">
        <f>SUM(AG225:AG228)</f>
        <v>455</v>
      </c>
      <c r="AH224" s="81"/>
      <c r="AI224" s="81"/>
      <c r="AJ224" s="84"/>
    </row>
    <row r="225" s="45" customFormat="1" ht="27" customHeight="1" spans="1:36">
      <c r="A225" s="38">
        <v>1</v>
      </c>
      <c r="B225" s="38" t="s">
        <v>560</v>
      </c>
      <c r="C225" s="38" t="s">
        <v>561</v>
      </c>
      <c r="D225" s="38" t="s">
        <v>70</v>
      </c>
      <c r="E225" s="69"/>
      <c r="F225" s="69">
        <v>1</v>
      </c>
      <c r="G225" s="69"/>
      <c r="H225" s="69"/>
      <c r="I225" s="69"/>
      <c r="J225" s="69"/>
      <c r="K225" s="69"/>
      <c r="L225" s="38"/>
      <c r="M225" s="73" t="s">
        <v>526</v>
      </c>
      <c r="N225" s="69"/>
      <c r="O225" s="69"/>
      <c r="P225" s="38">
        <v>200</v>
      </c>
      <c r="Q225" s="69"/>
      <c r="R225" s="69"/>
      <c r="S225" s="69"/>
      <c r="T225" s="69"/>
      <c r="U225" s="69"/>
      <c r="V225" s="38">
        <f t="shared" ref="V225:V228" si="143">W225+X225+Y225+Z225</f>
        <v>200</v>
      </c>
      <c r="W225" s="38">
        <v>110</v>
      </c>
      <c r="X225" s="38"/>
      <c r="Y225" s="38">
        <v>20</v>
      </c>
      <c r="Z225" s="38">
        <v>70</v>
      </c>
      <c r="AA225" s="69"/>
      <c r="AB225" s="69"/>
      <c r="AC225" s="69"/>
      <c r="AD225" s="69"/>
      <c r="AE225" s="38">
        <f>INT(IF(V225&lt;[1]参数!$F$9,V225*[1]参数!$F$10,[1]参数!$F$9*[1]参数!$F$10+(V225-[1]参数!$F$9)*[1]参数!$G$10))</f>
        <v>170</v>
      </c>
      <c r="AF225" s="38">
        <f>ROUND(MIN(AE225,W225),0)</f>
        <v>110</v>
      </c>
      <c r="AG225" s="38">
        <f>ROUND((AF225*$AM$1),0)</f>
        <v>110</v>
      </c>
      <c r="AH225" s="82">
        <v>45444</v>
      </c>
      <c r="AI225" s="82">
        <v>45778</v>
      </c>
      <c r="AJ225" s="83"/>
    </row>
    <row r="226" s="45" customFormat="1" ht="27" customHeight="1" spans="1:36">
      <c r="A226" s="38">
        <v>2</v>
      </c>
      <c r="B226" s="38" t="s">
        <v>562</v>
      </c>
      <c r="C226" s="38" t="s">
        <v>563</v>
      </c>
      <c r="D226" s="38" t="s">
        <v>70</v>
      </c>
      <c r="E226" s="69"/>
      <c r="F226" s="69">
        <v>1</v>
      </c>
      <c r="G226" s="69"/>
      <c r="H226" s="69"/>
      <c r="I226" s="69"/>
      <c r="J226" s="69"/>
      <c r="K226" s="69"/>
      <c r="L226" s="38"/>
      <c r="M226" s="73" t="s">
        <v>526</v>
      </c>
      <c r="N226" s="69"/>
      <c r="O226" s="69"/>
      <c r="P226" s="38">
        <v>600</v>
      </c>
      <c r="Q226" s="69"/>
      <c r="R226" s="69"/>
      <c r="S226" s="69"/>
      <c r="T226" s="69"/>
      <c r="U226" s="69"/>
      <c r="V226" s="38">
        <f t="shared" si="143"/>
        <v>600</v>
      </c>
      <c r="W226" s="38">
        <v>200</v>
      </c>
      <c r="X226" s="38"/>
      <c r="Y226" s="38">
        <v>60</v>
      </c>
      <c r="Z226" s="38">
        <v>340</v>
      </c>
      <c r="AA226" s="69"/>
      <c r="AB226" s="69"/>
      <c r="AC226" s="69"/>
      <c r="AD226" s="69"/>
      <c r="AE226" s="38">
        <f>INT(IF(V226&lt;[1]参数!$F$9,V226*[1]参数!$F$10,[1]参数!$F$9*[1]参数!$F$10+(V226-[1]参数!$F$9)*[1]参数!$G$10))</f>
        <v>270</v>
      </c>
      <c r="AF226" s="38">
        <f>ROUND(MIN(AE226,W226),0)</f>
        <v>200</v>
      </c>
      <c r="AG226" s="38">
        <f>ROUND((AF226*$AM$1),0)</f>
        <v>200</v>
      </c>
      <c r="AH226" s="82">
        <v>45444</v>
      </c>
      <c r="AI226" s="82">
        <v>45778</v>
      </c>
      <c r="AJ226" s="83"/>
    </row>
    <row r="227" s="52" customFormat="1" ht="32" customHeight="1" spans="1:36">
      <c r="A227" s="38">
        <v>3</v>
      </c>
      <c r="B227" s="38" t="s">
        <v>564</v>
      </c>
      <c r="C227" s="38" t="s">
        <v>565</v>
      </c>
      <c r="D227" s="38" t="s">
        <v>178</v>
      </c>
      <c r="E227" s="38"/>
      <c r="F227" s="38"/>
      <c r="G227" s="38">
        <v>1</v>
      </c>
      <c r="H227" s="38"/>
      <c r="I227" s="38"/>
      <c r="J227" s="38"/>
      <c r="K227" s="38">
        <v>5502</v>
      </c>
      <c r="L227" s="38" t="s">
        <v>566</v>
      </c>
      <c r="M227" s="73" t="s">
        <v>567</v>
      </c>
      <c r="N227" s="38">
        <v>700</v>
      </c>
      <c r="O227" s="38">
        <f>V227-P227</f>
        <v>280</v>
      </c>
      <c r="P227" s="38"/>
      <c r="Q227" s="38">
        <v>3797</v>
      </c>
      <c r="R227" s="38">
        <v>6</v>
      </c>
      <c r="S227" s="38">
        <f>U227</f>
        <v>30</v>
      </c>
      <c r="T227" s="38">
        <v>1</v>
      </c>
      <c r="U227" s="38">
        <v>30</v>
      </c>
      <c r="V227" s="38">
        <f t="shared" si="143"/>
        <v>280</v>
      </c>
      <c r="W227" s="38">
        <v>120</v>
      </c>
      <c r="X227" s="38"/>
      <c r="Y227" s="38">
        <v>20</v>
      </c>
      <c r="Z227" s="38">
        <v>140</v>
      </c>
      <c r="AA227" s="38">
        <f>[1]参数!$B$1</f>
        <v>0.28</v>
      </c>
      <c r="AB227" s="38">
        <f>[1]参数!C3</f>
        <v>0.4</v>
      </c>
      <c r="AC227" s="38">
        <f>IF(T227&gt;=12,3200,IF(T227&gt;=9,2500,IF(T227&gt;=6,1800,1200)))</f>
        <v>1200</v>
      </c>
      <c r="AD227" s="38">
        <f>ROUND(MIN(N227,AC227),0)</f>
        <v>700</v>
      </c>
      <c r="AE227" s="38">
        <f>AA227*AB227*AD227</f>
        <v>78.4</v>
      </c>
      <c r="AF227" s="38">
        <f>ROUND(MIN(W227,AE227),0)</f>
        <v>78</v>
      </c>
      <c r="AG227" s="38">
        <f>ROUND((AF227*$AM$1),0)</f>
        <v>78</v>
      </c>
      <c r="AH227" s="82">
        <v>45444</v>
      </c>
      <c r="AI227" s="82">
        <v>45810</v>
      </c>
      <c r="AJ227" s="85"/>
    </row>
    <row r="228" s="52" customFormat="1" ht="32" customHeight="1" spans="1:36">
      <c r="A228" s="38">
        <v>4</v>
      </c>
      <c r="B228" s="38" t="s">
        <v>568</v>
      </c>
      <c r="C228" s="38" t="s">
        <v>569</v>
      </c>
      <c r="D228" s="38" t="s">
        <v>178</v>
      </c>
      <c r="E228" s="38"/>
      <c r="F228" s="38"/>
      <c r="G228" s="38">
        <v>1</v>
      </c>
      <c r="H228" s="38"/>
      <c r="I228" s="38"/>
      <c r="J228" s="38"/>
      <c r="K228" s="38">
        <v>5257</v>
      </c>
      <c r="L228" s="38" t="s">
        <v>570</v>
      </c>
      <c r="M228" s="73" t="s">
        <v>567</v>
      </c>
      <c r="N228" s="38">
        <v>600</v>
      </c>
      <c r="O228" s="38">
        <f>V228-P228</f>
        <v>192</v>
      </c>
      <c r="P228" s="38">
        <v>12</v>
      </c>
      <c r="Q228" s="38">
        <v>2787</v>
      </c>
      <c r="R228" s="38">
        <v>6</v>
      </c>
      <c r="S228" s="38">
        <f>U228</f>
        <v>30</v>
      </c>
      <c r="T228" s="38">
        <v>1</v>
      </c>
      <c r="U228" s="38">
        <v>30</v>
      </c>
      <c r="V228" s="38">
        <f t="shared" si="143"/>
        <v>204</v>
      </c>
      <c r="W228" s="38">
        <v>140</v>
      </c>
      <c r="X228" s="38"/>
      <c r="Y228" s="38">
        <v>20</v>
      </c>
      <c r="Z228" s="38">
        <v>44</v>
      </c>
      <c r="AA228" s="38">
        <f>[1]参数!$B$1</f>
        <v>0.28</v>
      </c>
      <c r="AB228" s="38">
        <f>[1]参数!C3</f>
        <v>0.4</v>
      </c>
      <c r="AC228" s="38">
        <f>IF(T228&gt;=12,3200,IF(T228&gt;=9,2500,IF(T228&gt;=6,1800,1200)))</f>
        <v>1200</v>
      </c>
      <c r="AD228" s="38">
        <f>ROUND(MIN(N228,AC228),0)</f>
        <v>600</v>
      </c>
      <c r="AE228" s="38">
        <f>AA228*AB228*AD228</f>
        <v>67.2</v>
      </c>
      <c r="AF228" s="38">
        <f>ROUND(MIN(W228,AE228),0)</f>
        <v>67</v>
      </c>
      <c r="AG228" s="38">
        <f>ROUND((AF228*$AM$1),0)</f>
        <v>67</v>
      </c>
      <c r="AH228" s="82">
        <v>45444</v>
      </c>
      <c r="AI228" s="82">
        <v>45810</v>
      </c>
      <c r="AJ228" s="85"/>
    </row>
    <row r="229" s="45" customFormat="1" ht="18" spans="1:36">
      <c r="A229" s="38"/>
      <c r="B229" s="68" t="s">
        <v>571</v>
      </c>
      <c r="C229" s="68">
        <f t="shared" ref="C229:AG229" si="144">C230+C235+C240+C243+C245+C248+C251+C255</f>
        <v>19</v>
      </c>
      <c r="D229" s="68">
        <f t="shared" si="144"/>
        <v>0</v>
      </c>
      <c r="E229" s="68">
        <f t="shared" si="144"/>
        <v>6</v>
      </c>
      <c r="F229" s="68">
        <f t="shared" si="144"/>
        <v>6</v>
      </c>
      <c r="G229" s="68">
        <f t="shared" si="144"/>
        <v>0</v>
      </c>
      <c r="H229" s="68">
        <f t="shared" si="144"/>
        <v>7</v>
      </c>
      <c r="I229" s="68">
        <f t="shared" si="144"/>
        <v>0</v>
      </c>
      <c r="J229" s="68">
        <f t="shared" si="144"/>
        <v>0</v>
      </c>
      <c r="K229" s="68">
        <f t="shared" si="144"/>
        <v>37076.88</v>
      </c>
      <c r="L229" s="68">
        <f t="shared" si="144"/>
        <v>0</v>
      </c>
      <c r="M229" s="72">
        <f t="shared" si="144"/>
        <v>0</v>
      </c>
      <c r="N229" s="68">
        <f t="shared" si="144"/>
        <v>41522</v>
      </c>
      <c r="O229" s="68">
        <f t="shared" si="144"/>
        <v>5707</v>
      </c>
      <c r="P229" s="68">
        <f t="shared" si="144"/>
        <v>2822</v>
      </c>
      <c r="Q229" s="68">
        <f t="shared" si="144"/>
        <v>43230</v>
      </c>
      <c r="R229" s="68">
        <f t="shared" si="144"/>
        <v>141</v>
      </c>
      <c r="S229" s="68">
        <f t="shared" si="144"/>
        <v>2160</v>
      </c>
      <c r="T229" s="68">
        <f t="shared" si="144"/>
        <v>69</v>
      </c>
      <c r="U229" s="68">
        <f t="shared" si="144"/>
        <v>2200</v>
      </c>
      <c r="V229" s="68">
        <f t="shared" si="144"/>
        <v>8529</v>
      </c>
      <c r="W229" s="68">
        <f t="shared" si="144"/>
        <v>6775</v>
      </c>
      <c r="X229" s="68">
        <f t="shared" si="144"/>
        <v>0</v>
      </c>
      <c r="Y229" s="68">
        <f t="shared" si="144"/>
        <v>1754</v>
      </c>
      <c r="Z229" s="68">
        <f t="shared" si="144"/>
        <v>0</v>
      </c>
      <c r="AA229" s="68">
        <f t="shared" si="144"/>
        <v>0</v>
      </c>
      <c r="AB229" s="68">
        <f t="shared" si="144"/>
        <v>0</v>
      </c>
      <c r="AC229" s="68">
        <f t="shared" si="144"/>
        <v>0</v>
      </c>
      <c r="AD229" s="68">
        <f t="shared" si="144"/>
        <v>0</v>
      </c>
      <c r="AE229" s="68">
        <f t="shared" si="144"/>
        <v>0</v>
      </c>
      <c r="AF229" s="68">
        <f t="shared" si="144"/>
        <v>3855</v>
      </c>
      <c r="AG229" s="68">
        <f t="shared" si="144"/>
        <v>3855</v>
      </c>
      <c r="AH229" s="81"/>
      <c r="AI229" s="81"/>
      <c r="AJ229" s="84"/>
    </row>
    <row r="230" s="45" customFormat="1" ht="18" spans="1:36">
      <c r="A230" s="68" t="s">
        <v>44</v>
      </c>
      <c r="B230" s="68" t="s">
        <v>572</v>
      </c>
      <c r="C230" s="106">
        <v>4</v>
      </c>
      <c r="D230" s="69"/>
      <c r="E230" s="68">
        <f t="shared" ref="E230:Z230" si="145">SUM(E231:E234)</f>
        <v>1</v>
      </c>
      <c r="F230" s="68">
        <f t="shared" si="145"/>
        <v>1</v>
      </c>
      <c r="G230" s="68">
        <f t="shared" si="145"/>
        <v>0</v>
      </c>
      <c r="H230" s="68">
        <f t="shared" si="145"/>
        <v>2</v>
      </c>
      <c r="I230" s="68">
        <f t="shared" si="145"/>
        <v>0</v>
      </c>
      <c r="J230" s="68">
        <f t="shared" si="145"/>
        <v>0</v>
      </c>
      <c r="K230" s="68">
        <f t="shared" si="145"/>
        <v>13100</v>
      </c>
      <c r="L230" s="68">
        <f t="shared" si="145"/>
        <v>0</v>
      </c>
      <c r="M230" s="72">
        <f t="shared" si="145"/>
        <v>0</v>
      </c>
      <c r="N230" s="68">
        <f t="shared" si="145"/>
        <v>8193</v>
      </c>
      <c r="O230" s="68">
        <f t="shared" si="145"/>
        <v>950</v>
      </c>
      <c r="P230" s="68">
        <f t="shared" si="145"/>
        <v>372</v>
      </c>
      <c r="Q230" s="68">
        <f t="shared" si="145"/>
        <v>8193</v>
      </c>
      <c r="R230" s="68">
        <f t="shared" si="145"/>
        <v>27</v>
      </c>
      <c r="S230" s="68">
        <f t="shared" si="145"/>
        <v>630</v>
      </c>
      <c r="T230" s="68">
        <f t="shared" si="145"/>
        <v>6</v>
      </c>
      <c r="U230" s="68">
        <f t="shared" si="145"/>
        <v>180</v>
      </c>
      <c r="V230" s="68">
        <f t="shared" si="145"/>
        <v>1322</v>
      </c>
      <c r="W230" s="68">
        <f t="shared" si="145"/>
        <v>1025</v>
      </c>
      <c r="X230" s="68">
        <f t="shared" si="145"/>
        <v>0</v>
      </c>
      <c r="Y230" s="68">
        <f t="shared" si="145"/>
        <v>297</v>
      </c>
      <c r="Z230" s="68">
        <f t="shared" si="145"/>
        <v>0</v>
      </c>
      <c r="AA230" s="68"/>
      <c r="AB230" s="68"/>
      <c r="AC230" s="68"/>
      <c r="AD230" s="68"/>
      <c r="AE230" s="68"/>
      <c r="AF230" s="68">
        <f>SUM(AF231:AF234)</f>
        <v>798</v>
      </c>
      <c r="AG230" s="68">
        <f>SUM(AG231:AG234)</f>
        <v>798</v>
      </c>
      <c r="AH230" s="108"/>
      <c r="AI230" s="108"/>
      <c r="AJ230" s="109"/>
    </row>
    <row r="231" s="50" customFormat="1" ht="21" customHeight="1" spans="1:36">
      <c r="A231" s="38">
        <v>1</v>
      </c>
      <c r="B231" s="7" t="s">
        <v>573</v>
      </c>
      <c r="C231" s="7" t="s">
        <v>574</v>
      </c>
      <c r="D231" s="7" t="s">
        <v>87</v>
      </c>
      <c r="E231" s="38">
        <v>1</v>
      </c>
      <c r="F231" s="7"/>
      <c r="G231" s="7"/>
      <c r="H231" s="7"/>
      <c r="I231" s="7"/>
      <c r="J231" s="7"/>
      <c r="K231" s="7">
        <v>3000</v>
      </c>
      <c r="L231" s="7"/>
      <c r="M231" s="10" t="s">
        <v>575</v>
      </c>
      <c r="N231" s="7">
        <v>1193</v>
      </c>
      <c r="O231" s="7">
        <v>120</v>
      </c>
      <c r="P231" s="7"/>
      <c r="Q231" s="7">
        <v>1193</v>
      </c>
      <c r="R231" s="7">
        <v>6</v>
      </c>
      <c r="S231" s="7"/>
      <c r="T231" s="7">
        <v>6</v>
      </c>
      <c r="U231" s="7">
        <v>180</v>
      </c>
      <c r="V231" s="7">
        <v>120</v>
      </c>
      <c r="W231" s="7">
        <v>80</v>
      </c>
      <c r="X231" s="7"/>
      <c r="Y231" s="7">
        <v>40</v>
      </c>
      <c r="Z231" s="7"/>
      <c r="AA231" s="38">
        <f>[1]参数!$D$1</f>
        <v>0.096</v>
      </c>
      <c r="AB231" s="38"/>
      <c r="AC231" s="38">
        <f>IF((T231)&gt;=12,3200,IF((T231)&gt;=9,2500,IF((T231)&gt;=6,1800,1200)))</f>
        <v>1800</v>
      </c>
      <c r="AD231" s="38">
        <f>ROUND(MIN(AC231,N231),0)</f>
        <v>1193</v>
      </c>
      <c r="AE231" s="38">
        <f>AA231*AD231</f>
        <v>114.528</v>
      </c>
      <c r="AF231" s="38">
        <f t="shared" ref="AF231:AF237" si="146">ROUND(MIN(AE231,W231),0)</f>
        <v>80</v>
      </c>
      <c r="AG231" s="38">
        <f>ROUND((AF231*$AM$1),0)</f>
        <v>80</v>
      </c>
      <c r="AH231" s="110">
        <v>45474</v>
      </c>
      <c r="AI231" s="110">
        <v>45627</v>
      </c>
      <c r="AJ231" s="111" t="s">
        <v>576</v>
      </c>
    </row>
    <row r="232" s="45" customFormat="1" ht="21" customHeight="1" spans="1:36">
      <c r="A232" s="38">
        <v>2</v>
      </c>
      <c r="B232" s="7" t="s">
        <v>577</v>
      </c>
      <c r="C232" s="7" t="s">
        <v>578</v>
      </c>
      <c r="D232" s="38" t="s">
        <v>70</v>
      </c>
      <c r="E232" s="69"/>
      <c r="F232" s="69">
        <v>1</v>
      </c>
      <c r="G232" s="69"/>
      <c r="H232" s="69"/>
      <c r="I232" s="69"/>
      <c r="J232" s="69"/>
      <c r="K232" s="69"/>
      <c r="L232" s="7"/>
      <c r="M232" s="10" t="s">
        <v>579</v>
      </c>
      <c r="N232" s="69"/>
      <c r="O232" s="69"/>
      <c r="P232" s="7">
        <v>120</v>
      </c>
      <c r="Q232" s="69"/>
      <c r="R232" s="69"/>
      <c r="S232" s="69"/>
      <c r="T232" s="69"/>
      <c r="U232" s="69"/>
      <c r="V232" s="7">
        <v>120</v>
      </c>
      <c r="W232" s="7">
        <v>80</v>
      </c>
      <c r="X232" s="7"/>
      <c r="Y232" s="7">
        <v>40</v>
      </c>
      <c r="Z232" s="7"/>
      <c r="AA232" s="69"/>
      <c r="AB232" s="69"/>
      <c r="AC232" s="69"/>
      <c r="AD232" s="69"/>
      <c r="AE232" s="38">
        <f>INT(IF(V232&lt;[1]参数!$F$9,V232*[1]参数!$F$10,[1]参数!$F$9*[1]参数!$F$10+(V232-[1]参数!$F$9)*[1]参数!$G$10))</f>
        <v>102</v>
      </c>
      <c r="AF232" s="38">
        <f t="shared" si="146"/>
        <v>80</v>
      </c>
      <c r="AG232" s="38">
        <f>ROUND((AF232*$AM$1),0)</f>
        <v>80</v>
      </c>
      <c r="AH232" s="110">
        <v>45474</v>
      </c>
      <c r="AI232" s="110">
        <v>45627</v>
      </c>
      <c r="AJ232" s="112" t="s">
        <v>227</v>
      </c>
    </row>
    <row r="233" s="50" customFormat="1" ht="21" customHeight="1" spans="1:36">
      <c r="A233" s="38">
        <v>3</v>
      </c>
      <c r="B233" s="7" t="s">
        <v>580</v>
      </c>
      <c r="C233" s="7" t="s">
        <v>581</v>
      </c>
      <c r="D233" s="38" t="s">
        <v>26</v>
      </c>
      <c r="E233" s="7"/>
      <c r="F233" s="7"/>
      <c r="G233" s="7"/>
      <c r="H233" s="38">
        <v>1</v>
      </c>
      <c r="I233" s="7"/>
      <c r="J233" s="7"/>
      <c r="K233" s="7">
        <v>5600</v>
      </c>
      <c r="L233" s="7"/>
      <c r="M233" s="10" t="s">
        <v>582</v>
      </c>
      <c r="N233" s="7">
        <v>4500</v>
      </c>
      <c r="O233" s="7">
        <v>475</v>
      </c>
      <c r="P233" s="7">
        <v>144</v>
      </c>
      <c r="Q233" s="7">
        <v>4500</v>
      </c>
      <c r="R233" s="7">
        <v>12</v>
      </c>
      <c r="S233" s="7">
        <v>360</v>
      </c>
      <c r="T233" s="7"/>
      <c r="U233" s="7"/>
      <c r="V233" s="7">
        <v>619</v>
      </c>
      <c r="W233" s="7">
        <v>495</v>
      </c>
      <c r="X233" s="7"/>
      <c r="Y233" s="7">
        <v>124</v>
      </c>
      <c r="Z233" s="7"/>
      <c r="AA233" s="38">
        <f>[1]参数!$B$1</f>
        <v>0.28</v>
      </c>
      <c r="AB233" s="38">
        <f>[1]参数!$B$4</f>
        <v>0.4</v>
      </c>
      <c r="AC233" s="38">
        <f t="shared" ref="AC233:AC239" si="147">IF(R233&gt;=12,3200,IF(R233&gt;=9,2500,IF(R233&gt;=6,1800,1200)))</f>
        <v>3200</v>
      </c>
      <c r="AD233" s="38">
        <f t="shared" ref="AD233:AD239" si="148">ROUND(MIN(N233,AC233),0)</f>
        <v>3200</v>
      </c>
      <c r="AE233" s="38">
        <f t="shared" ref="AE233:AE239" si="149">AA233*AB233*AD233</f>
        <v>358.4</v>
      </c>
      <c r="AF233" s="38">
        <f t="shared" ref="AF233:AF239" si="150">ROUND(MIN(W233,AE233),0)</f>
        <v>358</v>
      </c>
      <c r="AG233" s="38">
        <f>ROUND((AF233*$AM$1),0)</f>
        <v>358</v>
      </c>
      <c r="AH233" s="110">
        <v>45474</v>
      </c>
      <c r="AI233" s="110">
        <v>45627</v>
      </c>
      <c r="AJ233" s="111" t="s">
        <v>58</v>
      </c>
    </row>
    <row r="234" s="50" customFormat="1" ht="21" customHeight="1" spans="1:36">
      <c r="A234" s="38">
        <v>4</v>
      </c>
      <c r="B234" s="7" t="s">
        <v>583</v>
      </c>
      <c r="C234" s="7" t="s">
        <v>584</v>
      </c>
      <c r="D234" s="38" t="s">
        <v>26</v>
      </c>
      <c r="E234" s="7"/>
      <c r="F234" s="7"/>
      <c r="G234" s="7"/>
      <c r="H234" s="38">
        <v>1</v>
      </c>
      <c r="I234" s="7"/>
      <c r="J234" s="7"/>
      <c r="K234" s="7">
        <v>4500</v>
      </c>
      <c r="L234" s="7"/>
      <c r="M234" s="10" t="s">
        <v>585</v>
      </c>
      <c r="N234" s="7">
        <v>2500</v>
      </c>
      <c r="O234" s="7">
        <v>355</v>
      </c>
      <c r="P234" s="7">
        <v>108</v>
      </c>
      <c r="Q234" s="7">
        <v>2500</v>
      </c>
      <c r="R234" s="7">
        <v>9</v>
      </c>
      <c r="S234" s="7">
        <v>270</v>
      </c>
      <c r="T234" s="7"/>
      <c r="U234" s="7"/>
      <c r="V234" s="7">
        <v>463</v>
      </c>
      <c r="W234" s="7">
        <v>370</v>
      </c>
      <c r="X234" s="7"/>
      <c r="Y234" s="7">
        <v>93</v>
      </c>
      <c r="Z234" s="7"/>
      <c r="AA234" s="38">
        <f>[1]参数!$B$1</f>
        <v>0.28</v>
      </c>
      <c r="AB234" s="38">
        <f>[1]参数!$B$4</f>
        <v>0.4</v>
      </c>
      <c r="AC234" s="38">
        <f t="shared" si="147"/>
        <v>2500</v>
      </c>
      <c r="AD234" s="38">
        <f t="shared" si="148"/>
        <v>2500</v>
      </c>
      <c r="AE234" s="38">
        <f t="shared" si="149"/>
        <v>280</v>
      </c>
      <c r="AF234" s="38">
        <f t="shared" si="150"/>
        <v>280</v>
      </c>
      <c r="AG234" s="38">
        <f>ROUND((AF234*$AM$1),0)</f>
        <v>280</v>
      </c>
      <c r="AH234" s="110">
        <v>45474</v>
      </c>
      <c r="AI234" s="110">
        <v>45627</v>
      </c>
      <c r="AJ234" s="111" t="s">
        <v>58</v>
      </c>
    </row>
    <row r="235" s="45" customFormat="1" ht="21" customHeight="1" spans="1:36">
      <c r="A235" s="68" t="s">
        <v>50</v>
      </c>
      <c r="B235" s="68" t="s">
        <v>586</v>
      </c>
      <c r="C235" s="106">
        <v>4</v>
      </c>
      <c r="D235" s="69"/>
      <c r="E235" s="68">
        <f t="shared" ref="E235:Z235" si="151">SUM(E236:E239)</f>
        <v>0</v>
      </c>
      <c r="F235" s="68">
        <f t="shared" si="151"/>
        <v>2</v>
      </c>
      <c r="G235" s="68">
        <f t="shared" si="151"/>
        <v>0</v>
      </c>
      <c r="H235" s="68">
        <f t="shared" si="151"/>
        <v>2</v>
      </c>
      <c r="I235" s="68">
        <f t="shared" si="151"/>
        <v>0</v>
      </c>
      <c r="J235" s="68">
        <f t="shared" si="151"/>
        <v>0</v>
      </c>
      <c r="K235" s="68">
        <f t="shared" si="151"/>
        <v>6353</v>
      </c>
      <c r="L235" s="68">
        <f t="shared" si="151"/>
        <v>0</v>
      </c>
      <c r="M235" s="72">
        <f t="shared" si="151"/>
        <v>0</v>
      </c>
      <c r="N235" s="68">
        <f t="shared" si="151"/>
        <v>4200</v>
      </c>
      <c r="O235" s="68">
        <f t="shared" si="151"/>
        <v>2187</v>
      </c>
      <c r="P235" s="68">
        <f t="shared" si="151"/>
        <v>980</v>
      </c>
      <c r="Q235" s="68">
        <f t="shared" si="151"/>
        <v>4200</v>
      </c>
      <c r="R235" s="68">
        <f t="shared" si="151"/>
        <v>15</v>
      </c>
      <c r="S235" s="68">
        <f t="shared" si="151"/>
        <v>450</v>
      </c>
      <c r="T235" s="68">
        <f t="shared" si="151"/>
        <v>0</v>
      </c>
      <c r="U235" s="68">
        <f t="shared" si="151"/>
        <v>0</v>
      </c>
      <c r="V235" s="68">
        <f t="shared" si="151"/>
        <v>3167</v>
      </c>
      <c r="W235" s="68">
        <f t="shared" si="151"/>
        <v>2390</v>
      </c>
      <c r="X235" s="68">
        <f t="shared" si="151"/>
        <v>0</v>
      </c>
      <c r="Y235" s="68">
        <f t="shared" si="151"/>
        <v>777</v>
      </c>
      <c r="Z235" s="68">
        <f t="shared" si="151"/>
        <v>0</v>
      </c>
      <c r="AA235" s="68"/>
      <c r="AB235" s="68"/>
      <c r="AC235" s="68"/>
      <c r="AD235" s="68"/>
      <c r="AE235" s="68"/>
      <c r="AF235" s="68">
        <f>SUM(AF236:AF239)</f>
        <v>623</v>
      </c>
      <c r="AG235" s="68">
        <f>SUM(AG236:AG239)</f>
        <v>623</v>
      </c>
      <c r="AH235" s="108"/>
      <c r="AI235" s="108"/>
      <c r="AJ235" s="109"/>
    </row>
    <row r="236" s="45" customFormat="1" ht="21" customHeight="1" spans="1:36">
      <c r="A236" s="38">
        <v>1</v>
      </c>
      <c r="B236" s="7" t="s">
        <v>587</v>
      </c>
      <c r="C236" s="7" t="s">
        <v>588</v>
      </c>
      <c r="D236" s="38" t="s">
        <v>70</v>
      </c>
      <c r="E236" s="69"/>
      <c r="F236" s="69">
        <v>1</v>
      </c>
      <c r="G236" s="69"/>
      <c r="H236" s="69"/>
      <c r="I236" s="69"/>
      <c r="J236" s="69"/>
      <c r="K236" s="69"/>
      <c r="L236" s="7"/>
      <c r="M236" s="10" t="s">
        <v>589</v>
      </c>
      <c r="N236" s="69"/>
      <c r="O236" s="69"/>
      <c r="P236" s="7">
        <v>100</v>
      </c>
      <c r="Q236" s="69"/>
      <c r="R236" s="69"/>
      <c r="S236" s="69"/>
      <c r="T236" s="69"/>
      <c r="U236" s="69"/>
      <c r="V236" s="7">
        <v>100</v>
      </c>
      <c r="W236" s="7">
        <v>100</v>
      </c>
      <c r="X236" s="7"/>
      <c r="Y236" s="7"/>
      <c r="Z236" s="7"/>
      <c r="AA236" s="69"/>
      <c r="AB236" s="69"/>
      <c r="AC236" s="69"/>
      <c r="AD236" s="69"/>
      <c r="AE236" s="38">
        <f>INT(IF(V236&lt;[1]参数!$F$9,V236*[1]参数!$F$10,[1]参数!$F$9*[1]参数!$F$10+(V236-[1]参数!$F$9)*[1]参数!$G$10))</f>
        <v>85</v>
      </c>
      <c r="AF236" s="38">
        <f t="shared" si="146"/>
        <v>85</v>
      </c>
      <c r="AG236" s="38">
        <f>ROUND((AF236*$AM$1),0)</f>
        <v>85</v>
      </c>
      <c r="AH236" s="110">
        <v>45352</v>
      </c>
      <c r="AI236" s="110">
        <v>45444</v>
      </c>
      <c r="AJ236" s="112" t="s">
        <v>72</v>
      </c>
    </row>
    <row r="237" s="45" customFormat="1" ht="21" customHeight="1" spans="1:36">
      <c r="A237" s="38">
        <v>2</v>
      </c>
      <c r="B237" s="7" t="s">
        <v>590</v>
      </c>
      <c r="C237" s="7" t="s">
        <v>591</v>
      </c>
      <c r="D237" s="38" t="s">
        <v>70</v>
      </c>
      <c r="E237" s="69"/>
      <c r="F237" s="69">
        <v>1</v>
      </c>
      <c r="G237" s="69"/>
      <c r="H237" s="69"/>
      <c r="I237" s="69"/>
      <c r="J237" s="69"/>
      <c r="K237" s="69"/>
      <c r="L237" s="7"/>
      <c r="M237" s="10" t="s">
        <v>592</v>
      </c>
      <c r="N237" s="69"/>
      <c r="O237" s="69"/>
      <c r="P237" s="7">
        <v>80</v>
      </c>
      <c r="Q237" s="69"/>
      <c r="R237" s="69"/>
      <c r="S237" s="69"/>
      <c r="T237" s="69"/>
      <c r="U237" s="69"/>
      <c r="V237" s="7">
        <v>80</v>
      </c>
      <c r="W237" s="7">
        <v>80</v>
      </c>
      <c r="X237" s="7"/>
      <c r="Y237" s="7"/>
      <c r="Z237" s="7"/>
      <c r="AA237" s="69"/>
      <c r="AB237" s="69"/>
      <c r="AC237" s="69"/>
      <c r="AD237" s="69"/>
      <c r="AE237" s="38">
        <f>INT(IF(V237&lt;[1]参数!$F$9,V237*[1]参数!$F$10,[1]参数!$F$9*[1]参数!$F$10+(V237-[1]参数!$F$9)*[1]参数!$G$10))</f>
        <v>68</v>
      </c>
      <c r="AF237" s="38">
        <f t="shared" si="146"/>
        <v>68</v>
      </c>
      <c r="AG237" s="38">
        <f>ROUND((AF237*$AM$1),0)</f>
        <v>68</v>
      </c>
      <c r="AH237" s="110">
        <v>45352</v>
      </c>
      <c r="AI237" s="110">
        <v>45444</v>
      </c>
      <c r="AJ237" s="112" t="s">
        <v>72</v>
      </c>
    </row>
    <row r="238" s="50" customFormat="1" ht="21" customHeight="1" spans="1:36">
      <c r="A238" s="38">
        <v>3</v>
      </c>
      <c r="B238" s="7" t="s">
        <v>593</v>
      </c>
      <c r="C238" s="7" t="s">
        <v>594</v>
      </c>
      <c r="D238" s="38" t="s">
        <v>26</v>
      </c>
      <c r="E238" s="7"/>
      <c r="F238" s="7"/>
      <c r="G238" s="7"/>
      <c r="H238" s="38">
        <v>1</v>
      </c>
      <c r="I238" s="7"/>
      <c r="J238" s="7"/>
      <c r="K238" s="7">
        <v>3353</v>
      </c>
      <c r="L238" s="7"/>
      <c r="M238" s="10" t="s">
        <v>595</v>
      </c>
      <c r="N238" s="7">
        <v>2500</v>
      </c>
      <c r="O238" s="7">
        <v>1277.5</v>
      </c>
      <c r="P238" s="7">
        <v>400</v>
      </c>
      <c r="Q238" s="7">
        <v>2500</v>
      </c>
      <c r="R238" s="7">
        <v>9</v>
      </c>
      <c r="S238" s="7">
        <v>270</v>
      </c>
      <c r="T238" s="7"/>
      <c r="U238" s="7"/>
      <c r="V238" s="7">
        <f>W238+X238+Y238+Z238</f>
        <v>1677.5</v>
      </c>
      <c r="W238" s="7">
        <v>1250</v>
      </c>
      <c r="X238" s="7"/>
      <c r="Y238" s="7">
        <v>427.5</v>
      </c>
      <c r="Z238" s="7"/>
      <c r="AA238" s="38">
        <f>[1]参数!$B$1</f>
        <v>0.28</v>
      </c>
      <c r="AB238" s="38">
        <f>[1]参数!$B$4</f>
        <v>0.4</v>
      </c>
      <c r="AC238" s="38">
        <f t="shared" si="147"/>
        <v>2500</v>
      </c>
      <c r="AD238" s="38">
        <f t="shared" si="148"/>
        <v>2500</v>
      </c>
      <c r="AE238" s="38">
        <f t="shared" si="149"/>
        <v>280</v>
      </c>
      <c r="AF238" s="38">
        <f t="shared" si="150"/>
        <v>280</v>
      </c>
      <c r="AG238" s="38">
        <f>ROUND((AF238*$AM$1),0)</f>
        <v>280</v>
      </c>
      <c r="AH238" s="110">
        <v>45566</v>
      </c>
      <c r="AI238" s="110">
        <v>45870</v>
      </c>
      <c r="AJ238" s="111" t="s">
        <v>596</v>
      </c>
    </row>
    <row r="239" s="50" customFormat="1" ht="21" customHeight="1" spans="1:36">
      <c r="A239" s="38">
        <v>4</v>
      </c>
      <c r="B239" s="7" t="s">
        <v>587</v>
      </c>
      <c r="C239" s="7" t="s">
        <v>597</v>
      </c>
      <c r="D239" s="38" t="s">
        <v>26</v>
      </c>
      <c r="E239" s="7"/>
      <c r="F239" s="7"/>
      <c r="G239" s="7"/>
      <c r="H239" s="38">
        <v>1</v>
      </c>
      <c r="I239" s="7"/>
      <c r="J239" s="7"/>
      <c r="K239" s="7">
        <v>3000</v>
      </c>
      <c r="L239" s="7"/>
      <c r="M239" s="10" t="s">
        <v>595</v>
      </c>
      <c r="N239" s="7">
        <v>1700</v>
      </c>
      <c r="O239" s="7">
        <v>909.5</v>
      </c>
      <c r="P239" s="7">
        <v>400</v>
      </c>
      <c r="Q239" s="7">
        <v>1700</v>
      </c>
      <c r="R239" s="7">
        <v>6</v>
      </c>
      <c r="S239" s="7">
        <v>180</v>
      </c>
      <c r="T239" s="7"/>
      <c r="U239" s="7"/>
      <c r="V239" s="7">
        <f>W239+X239+Y239+Z239</f>
        <v>1309.5</v>
      </c>
      <c r="W239" s="7">
        <v>960</v>
      </c>
      <c r="X239" s="7"/>
      <c r="Y239" s="7">
        <v>349.5</v>
      </c>
      <c r="Z239" s="7"/>
      <c r="AA239" s="38">
        <f>[1]参数!$B$1</f>
        <v>0.28</v>
      </c>
      <c r="AB239" s="38">
        <f>[1]参数!$B$4</f>
        <v>0.4</v>
      </c>
      <c r="AC239" s="38">
        <f t="shared" si="147"/>
        <v>1800</v>
      </c>
      <c r="AD239" s="38">
        <f t="shared" si="148"/>
        <v>1700</v>
      </c>
      <c r="AE239" s="38">
        <f t="shared" si="149"/>
        <v>190.4</v>
      </c>
      <c r="AF239" s="38">
        <f t="shared" si="150"/>
        <v>190</v>
      </c>
      <c r="AG239" s="38">
        <f>ROUND((AF239*$AM$1),0)</f>
        <v>190</v>
      </c>
      <c r="AH239" s="110">
        <v>45566</v>
      </c>
      <c r="AI239" s="110">
        <v>45870</v>
      </c>
      <c r="AJ239" s="111" t="s">
        <v>596</v>
      </c>
    </row>
    <row r="240" s="45" customFormat="1" ht="18" spans="1:36">
      <c r="A240" s="68" t="s">
        <v>59</v>
      </c>
      <c r="B240" s="68" t="s">
        <v>598</v>
      </c>
      <c r="C240" s="106">
        <v>2</v>
      </c>
      <c r="D240" s="69"/>
      <c r="E240" s="68">
        <f t="shared" ref="E240:Z240" si="152">SUM(E241:E242)</f>
        <v>1</v>
      </c>
      <c r="F240" s="68">
        <f t="shared" si="152"/>
        <v>1</v>
      </c>
      <c r="G240" s="68">
        <f t="shared" si="152"/>
        <v>0</v>
      </c>
      <c r="H240" s="68">
        <f t="shared" si="152"/>
        <v>0</v>
      </c>
      <c r="I240" s="68">
        <f t="shared" si="152"/>
        <v>0</v>
      </c>
      <c r="J240" s="68">
        <f t="shared" si="152"/>
        <v>0</v>
      </c>
      <c r="K240" s="68">
        <f t="shared" si="152"/>
        <v>1000</v>
      </c>
      <c r="L240" s="68">
        <f t="shared" si="152"/>
        <v>0</v>
      </c>
      <c r="M240" s="72">
        <f t="shared" si="152"/>
        <v>0</v>
      </c>
      <c r="N240" s="68">
        <f t="shared" si="152"/>
        <v>2000</v>
      </c>
      <c r="O240" s="68">
        <f t="shared" si="152"/>
        <v>200</v>
      </c>
      <c r="P240" s="68">
        <f t="shared" si="152"/>
        <v>350</v>
      </c>
      <c r="Q240" s="68">
        <f t="shared" si="152"/>
        <v>2000</v>
      </c>
      <c r="R240" s="68">
        <f t="shared" si="152"/>
        <v>15</v>
      </c>
      <c r="S240" s="68">
        <f t="shared" si="152"/>
        <v>0</v>
      </c>
      <c r="T240" s="68">
        <f t="shared" si="152"/>
        <v>15</v>
      </c>
      <c r="U240" s="68">
        <f t="shared" si="152"/>
        <v>450</v>
      </c>
      <c r="V240" s="68">
        <f t="shared" si="152"/>
        <v>550</v>
      </c>
      <c r="W240" s="68">
        <f t="shared" si="152"/>
        <v>440</v>
      </c>
      <c r="X240" s="68">
        <f t="shared" si="152"/>
        <v>0</v>
      </c>
      <c r="Y240" s="68">
        <f t="shared" si="152"/>
        <v>110</v>
      </c>
      <c r="Z240" s="68">
        <f t="shared" si="152"/>
        <v>0</v>
      </c>
      <c r="AA240" s="68"/>
      <c r="AB240" s="68"/>
      <c r="AC240" s="68"/>
      <c r="AD240" s="68"/>
      <c r="AE240" s="68"/>
      <c r="AF240" s="68">
        <f>SUM(AF241:AF242)</f>
        <v>387</v>
      </c>
      <c r="AG240" s="68">
        <f>SUM(AG241:AG242)</f>
        <v>387</v>
      </c>
      <c r="AH240" s="108"/>
      <c r="AI240" s="108"/>
      <c r="AJ240" s="109"/>
    </row>
    <row r="241" s="57" customFormat="1" ht="22" customHeight="1" spans="1:36">
      <c r="A241" s="38">
        <v>1</v>
      </c>
      <c r="B241" s="38" t="s">
        <v>599</v>
      </c>
      <c r="C241" s="38" t="s">
        <v>600</v>
      </c>
      <c r="D241" s="38" t="s">
        <v>87</v>
      </c>
      <c r="E241" s="38">
        <v>1</v>
      </c>
      <c r="F241" s="38"/>
      <c r="G241" s="38"/>
      <c r="H241" s="38"/>
      <c r="I241" s="38"/>
      <c r="J241" s="38"/>
      <c r="K241" s="38">
        <v>1000</v>
      </c>
      <c r="L241" s="38"/>
      <c r="M241" s="73" t="s">
        <v>196</v>
      </c>
      <c r="N241" s="38">
        <v>2000</v>
      </c>
      <c r="O241" s="38">
        <v>200</v>
      </c>
      <c r="P241" s="38">
        <v>50</v>
      </c>
      <c r="Q241" s="38">
        <v>2000</v>
      </c>
      <c r="R241" s="38">
        <v>15</v>
      </c>
      <c r="S241" s="38"/>
      <c r="T241" s="38">
        <v>15</v>
      </c>
      <c r="U241" s="38">
        <v>450</v>
      </c>
      <c r="V241" s="38">
        <v>250</v>
      </c>
      <c r="W241" s="38">
        <v>200</v>
      </c>
      <c r="X241" s="38"/>
      <c r="Y241" s="38">
        <v>50</v>
      </c>
      <c r="Z241" s="38"/>
      <c r="AA241" s="38">
        <f>[1]参数!$D$1</f>
        <v>0.096</v>
      </c>
      <c r="AB241" s="38"/>
      <c r="AC241" s="38">
        <f t="shared" ref="AC241:AC246" si="153">IF((T241)&gt;=12,3200,IF((T241)&gt;=9,2500,IF((T241)&gt;=6,1800,1200)))</f>
        <v>3200</v>
      </c>
      <c r="AD241" s="38">
        <f t="shared" ref="AD241:AD246" si="154">ROUND(MIN(AC241,N241),0)</f>
        <v>2000</v>
      </c>
      <c r="AE241" s="38">
        <f t="shared" ref="AE241:AE246" si="155">AA241*AD241</f>
        <v>192</v>
      </c>
      <c r="AF241" s="38">
        <f t="shared" ref="AF241:AF244" si="156">ROUND(MIN(AE241,W241),0)</f>
        <v>192</v>
      </c>
      <c r="AG241" s="38">
        <f>ROUND((AF241*$AM$1),0)</f>
        <v>192</v>
      </c>
      <c r="AH241" s="82">
        <v>45444</v>
      </c>
      <c r="AI241" s="82">
        <v>45536</v>
      </c>
      <c r="AJ241" s="85"/>
    </row>
    <row r="242" s="45" customFormat="1" ht="21" customHeight="1" spans="1:36">
      <c r="A242" s="38">
        <v>2</v>
      </c>
      <c r="B242" s="7" t="s">
        <v>601</v>
      </c>
      <c r="C242" s="7" t="s">
        <v>143</v>
      </c>
      <c r="D242" s="38" t="s">
        <v>70</v>
      </c>
      <c r="E242" s="69"/>
      <c r="F242" s="69">
        <v>1</v>
      </c>
      <c r="G242" s="69"/>
      <c r="H242" s="69"/>
      <c r="I242" s="69"/>
      <c r="J242" s="69"/>
      <c r="K242" s="69"/>
      <c r="L242" s="7"/>
      <c r="M242" s="10" t="s">
        <v>602</v>
      </c>
      <c r="N242" s="69"/>
      <c r="O242" s="69"/>
      <c r="P242" s="7">
        <v>300</v>
      </c>
      <c r="Q242" s="69"/>
      <c r="R242" s="69"/>
      <c r="S242" s="69"/>
      <c r="T242" s="69"/>
      <c r="U242" s="69"/>
      <c r="V242" s="7">
        <v>300</v>
      </c>
      <c r="W242" s="7">
        <v>240</v>
      </c>
      <c r="X242" s="7"/>
      <c r="Y242" s="7">
        <v>60</v>
      </c>
      <c r="Z242" s="7"/>
      <c r="AA242" s="69"/>
      <c r="AB242" s="69"/>
      <c r="AC242" s="69"/>
      <c r="AD242" s="69"/>
      <c r="AE242" s="38">
        <f>INT(IF(V242&lt;[1]参数!$F$9,V242*[1]参数!$F$10,[1]参数!$F$9*[1]参数!$F$10+(V242-[1]参数!$F$9)*[1]参数!$G$10))</f>
        <v>195</v>
      </c>
      <c r="AF242" s="38">
        <f t="shared" si="156"/>
        <v>195</v>
      </c>
      <c r="AG242" s="38">
        <f>ROUND((AF242*$AM$1),0)</f>
        <v>195</v>
      </c>
      <c r="AH242" s="110">
        <v>45536</v>
      </c>
      <c r="AI242" s="110">
        <v>45597</v>
      </c>
      <c r="AJ242" s="112" t="s">
        <v>72</v>
      </c>
    </row>
    <row r="243" s="56" customFormat="1" ht="21" customHeight="1" spans="1:36">
      <c r="A243" s="68" t="s">
        <v>66</v>
      </c>
      <c r="B243" s="106" t="s">
        <v>603</v>
      </c>
      <c r="C243" s="106">
        <v>1</v>
      </c>
      <c r="D243" s="106"/>
      <c r="E243" s="68">
        <f t="shared" ref="E243:Z243" si="157">SUM(E244)</f>
        <v>1</v>
      </c>
      <c r="F243" s="68">
        <f t="shared" si="157"/>
        <v>0</v>
      </c>
      <c r="G243" s="68">
        <f t="shared" si="157"/>
        <v>0</v>
      </c>
      <c r="H243" s="68">
        <f t="shared" si="157"/>
        <v>0</v>
      </c>
      <c r="I243" s="68">
        <f t="shared" si="157"/>
        <v>0</v>
      </c>
      <c r="J243" s="68">
        <f t="shared" si="157"/>
        <v>0</v>
      </c>
      <c r="K243" s="68">
        <f t="shared" si="157"/>
        <v>3309</v>
      </c>
      <c r="L243" s="68">
        <f t="shared" si="157"/>
        <v>0</v>
      </c>
      <c r="M243" s="72">
        <f t="shared" si="157"/>
        <v>0</v>
      </c>
      <c r="N243" s="68">
        <f t="shared" si="157"/>
        <v>2185</v>
      </c>
      <c r="O243" s="68">
        <f t="shared" si="157"/>
        <v>120</v>
      </c>
      <c r="P243" s="68">
        <f t="shared" si="157"/>
        <v>0</v>
      </c>
      <c r="Q243" s="68">
        <f t="shared" si="157"/>
        <v>2185</v>
      </c>
      <c r="R243" s="68">
        <f t="shared" si="157"/>
        <v>10</v>
      </c>
      <c r="S243" s="68">
        <f t="shared" si="157"/>
        <v>0</v>
      </c>
      <c r="T243" s="68">
        <f t="shared" si="157"/>
        <v>10</v>
      </c>
      <c r="U243" s="68">
        <f t="shared" si="157"/>
        <v>380</v>
      </c>
      <c r="V243" s="68">
        <f t="shared" si="157"/>
        <v>120</v>
      </c>
      <c r="W243" s="68">
        <f t="shared" si="157"/>
        <v>120</v>
      </c>
      <c r="X243" s="68">
        <f t="shared" si="157"/>
        <v>0</v>
      </c>
      <c r="Y243" s="68">
        <f t="shared" si="157"/>
        <v>0</v>
      </c>
      <c r="Z243" s="68">
        <f t="shared" si="157"/>
        <v>0</v>
      </c>
      <c r="AA243" s="68"/>
      <c r="AB243" s="68"/>
      <c r="AC243" s="68"/>
      <c r="AD243" s="68"/>
      <c r="AE243" s="68"/>
      <c r="AF243" s="68">
        <f>SUM(AF244)</f>
        <v>120</v>
      </c>
      <c r="AG243" s="68">
        <f>SUM(AG244)</f>
        <v>120</v>
      </c>
      <c r="AH243" s="108"/>
      <c r="AI243" s="108"/>
      <c r="AJ243" s="84"/>
    </row>
    <row r="244" s="50" customFormat="1" ht="21" customHeight="1" spans="1:36">
      <c r="A244" s="38">
        <v>1</v>
      </c>
      <c r="B244" s="7" t="s">
        <v>604</v>
      </c>
      <c r="C244" s="7" t="s">
        <v>605</v>
      </c>
      <c r="D244" s="7" t="s">
        <v>87</v>
      </c>
      <c r="E244" s="38">
        <v>1</v>
      </c>
      <c r="F244" s="7"/>
      <c r="G244" s="7"/>
      <c r="H244" s="7"/>
      <c r="I244" s="7"/>
      <c r="J244" s="7"/>
      <c r="K244" s="7">
        <v>3309</v>
      </c>
      <c r="L244" s="7"/>
      <c r="M244" s="10" t="s">
        <v>196</v>
      </c>
      <c r="N244" s="7">
        <v>2185</v>
      </c>
      <c r="O244" s="7">
        <v>120</v>
      </c>
      <c r="P244" s="7"/>
      <c r="Q244" s="7">
        <v>2185</v>
      </c>
      <c r="R244" s="7">
        <v>10</v>
      </c>
      <c r="S244" s="7"/>
      <c r="T244" s="7">
        <v>10</v>
      </c>
      <c r="U244" s="7">
        <v>380</v>
      </c>
      <c r="V244" s="7">
        <v>120</v>
      </c>
      <c r="W244" s="7">
        <v>120</v>
      </c>
      <c r="X244" s="7"/>
      <c r="Y244" s="7"/>
      <c r="Z244" s="7"/>
      <c r="AA244" s="38">
        <f>[1]参数!$D$1</f>
        <v>0.096</v>
      </c>
      <c r="AB244" s="38"/>
      <c r="AC244" s="38">
        <f t="shared" si="153"/>
        <v>2500</v>
      </c>
      <c r="AD244" s="38">
        <f t="shared" si="154"/>
        <v>2185</v>
      </c>
      <c r="AE244" s="38">
        <f t="shared" si="155"/>
        <v>209.76</v>
      </c>
      <c r="AF244" s="38">
        <f t="shared" si="156"/>
        <v>120</v>
      </c>
      <c r="AG244" s="38">
        <f>ROUND((AF244*$AM$1),0)</f>
        <v>120</v>
      </c>
      <c r="AH244" s="110">
        <v>45444</v>
      </c>
      <c r="AI244" s="110">
        <v>45536</v>
      </c>
      <c r="AJ244" s="111" t="s">
        <v>129</v>
      </c>
    </row>
    <row r="245" s="45" customFormat="1" ht="21" customHeight="1" spans="1:36">
      <c r="A245" s="68" t="s">
        <v>83</v>
      </c>
      <c r="B245" s="68" t="s">
        <v>606</v>
      </c>
      <c r="C245" s="68">
        <v>2</v>
      </c>
      <c r="D245" s="69"/>
      <c r="E245" s="68">
        <f t="shared" ref="E245:Z245" si="158">SUM(E246:E247)</f>
        <v>1</v>
      </c>
      <c r="F245" s="68">
        <f t="shared" si="158"/>
        <v>1</v>
      </c>
      <c r="G245" s="68">
        <f t="shared" si="158"/>
        <v>0</v>
      </c>
      <c r="H245" s="68">
        <f t="shared" si="158"/>
        <v>0</v>
      </c>
      <c r="I245" s="68">
        <f t="shared" si="158"/>
        <v>0</v>
      </c>
      <c r="J245" s="68">
        <f t="shared" si="158"/>
        <v>0</v>
      </c>
      <c r="K245" s="68">
        <f t="shared" si="158"/>
        <v>1864</v>
      </c>
      <c r="L245" s="68">
        <f t="shared" si="158"/>
        <v>0</v>
      </c>
      <c r="M245" s="72">
        <f t="shared" si="158"/>
        <v>0</v>
      </c>
      <c r="N245" s="68">
        <f t="shared" si="158"/>
        <v>3880</v>
      </c>
      <c r="O245" s="68">
        <f t="shared" si="158"/>
        <v>280</v>
      </c>
      <c r="P245" s="68">
        <f t="shared" si="158"/>
        <v>80</v>
      </c>
      <c r="Q245" s="68">
        <f t="shared" si="158"/>
        <v>5588</v>
      </c>
      <c r="R245" s="68">
        <f t="shared" si="158"/>
        <v>14</v>
      </c>
      <c r="S245" s="68">
        <f t="shared" si="158"/>
        <v>0</v>
      </c>
      <c r="T245" s="68">
        <f t="shared" si="158"/>
        <v>14</v>
      </c>
      <c r="U245" s="68">
        <f t="shared" si="158"/>
        <v>470</v>
      </c>
      <c r="V245" s="68">
        <f t="shared" si="158"/>
        <v>360</v>
      </c>
      <c r="W245" s="68">
        <f t="shared" si="158"/>
        <v>360</v>
      </c>
      <c r="X245" s="68">
        <f t="shared" si="158"/>
        <v>0</v>
      </c>
      <c r="Y245" s="68">
        <f t="shared" si="158"/>
        <v>0</v>
      </c>
      <c r="Z245" s="68">
        <f t="shared" si="158"/>
        <v>0</v>
      </c>
      <c r="AA245" s="68"/>
      <c r="AB245" s="68"/>
      <c r="AC245" s="68"/>
      <c r="AD245" s="68"/>
      <c r="AE245" s="68"/>
      <c r="AF245" s="68">
        <f>SUM(AF246:AF247)</f>
        <v>348</v>
      </c>
      <c r="AG245" s="68">
        <f>SUM(AG246:AG247)</f>
        <v>348</v>
      </c>
      <c r="AH245" s="81"/>
      <c r="AI245" s="81"/>
      <c r="AJ245" s="84"/>
    </row>
    <row r="246" s="50" customFormat="1" ht="21" customHeight="1" spans="1:36">
      <c r="A246" s="38">
        <v>1</v>
      </c>
      <c r="B246" s="38" t="s">
        <v>607</v>
      </c>
      <c r="C246" s="38" t="s">
        <v>608</v>
      </c>
      <c r="D246" s="38" t="s">
        <v>87</v>
      </c>
      <c r="E246" s="38">
        <v>1</v>
      </c>
      <c r="F246" s="38"/>
      <c r="G246" s="38"/>
      <c r="H246" s="38"/>
      <c r="I246" s="38"/>
      <c r="J246" s="38"/>
      <c r="K246" s="38">
        <v>1864</v>
      </c>
      <c r="L246" s="38"/>
      <c r="M246" s="73" t="s">
        <v>609</v>
      </c>
      <c r="N246" s="38">
        <v>3880</v>
      </c>
      <c r="O246" s="38">
        <v>280</v>
      </c>
      <c r="P246" s="38"/>
      <c r="Q246" s="38">
        <v>5588</v>
      </c>
      <c r="R246" s="38">
        <v>14</v>
      </c>
      <c r="S246" s="38"/>
      <c r="T246" s="38">
        <v>14</v>
      </c>
      <c r="U246" s="38">
        <v>470</v>
      </c>
      <c r="V246" s="38">
        <v>280</v>
      </c>
      <c r="W246" s="38">
        <v>280</v>
      </c>
      <c r="X246" s="38"/>
      <c r="Y246" s="38"/>
      <c r="Z246" s="38"/>
      <c r="AA246" s="38">
        <f>[1]参数!$D$1</f>
        <v>0.096</v>
      </c>
      <c r="AB246" s="38"/>
      <c r="AC246" s="38">
        <f t="shared" si="153"/>
        <v>3200</v>
      </c>
      <c r="AD246" s="38">
        <f t="shared" si="154"/>
        <v>3200</v>
      </c>
      <c r="AE246" s="38">
        <f t="shared" si="155"/>
        <v>307.2</v>
      </c>
      <c r="AF246" s="38">
        <f t="shared" ref="AF246:AF250" si="159">ROUND(MIN(AE246,W246),0)</f>
        <v>280</v>
      </c>
      <c r="AG246" s="38">
        <f>ROUND((AF246*$AM$1),0)</f>
        <v>280</v>
      </c>
      <c r="AH246" s="82">
        <v>45474</v>
      </c>
      <c r="AI246" s="82">
        <v>45536</v>
      </c>
      <c r="AJ246" s="83" t="s">
        <v>224</v>
      </c>
    </row>
    <row r="247" s="45" customFormat="1" ht="21" customHeight="1" spans="1:36">
      <c r="A247" s="38">
        <v>2</v>
      </c>
      <c r="B247" s="38" t="s">
        <v>607</v>
      </c>
      <c r="C247" s="38" t="s">
        <v>610</v>
      </c>
      <c r="D247" s="38" t="s">
        <v>70</v>
      </c>
      <c r="E247" s="69"/>
      <c r="F247" s="69">
        <v>1</v>
      </c>
      <c r="G247" s="69"/>
      <c r="H247" s="69"/>
      <c r="I247" s="69"/>
      <c r="J247" s="69"/>
      <c r="K247" s="69"/>
      <c r="L247" s="38"/>
      <c r="M247" s="73" t="s">
        <v>611</v>
      </c>
      <c r="N247" s="69"/>
      <c r="O247" s="69"/>
      <c r="P247" s="38">
        <v>80</v>
      </c>
      <c r="Q247" s="69"/>
      <c r="R247" s="69"/>
      <c r="S247" s="69"/>
      <c r="T247" s="69"/>
      <c r="U247" s="69"/>
      <c r="V247" s="38">
        <v>80</v>
      </c>
      <c r="W247" s="38">
        <v>80</v>
      </c>
      <c r="X247" s="38"/>
      <c r="Y247" s="38"/>
      <c r="Z247" s="38"/>
      <c r="AA247" s="69"/>
      <c r="AB247" s="69"/>
      <c r="AC247" s="69"/>
      <c r="AD247" s="69"/>
      <c r="AE247" s="38">
        <f>INT(IF(V247&lt;[1]参数!$F$9,V247*[1]参数!$F$10,[1]参数!$F$9*[1]参数!$F$10+(V247-[1]参数!$F$9)*[1]参数!$G$10))</f>
        <v>68</v>
      </c>
      <c r="AF247" s="38">
        <f t="shared" si="159"/>
        <v>68</v>
      </c>
      <c r="AG247" s="38">
        <f>ROUND((AF247*$AM$1),0)</f>
        <v>68</v>
      </c>
      <c r="AH247" s="82">
        <v>45323</v>
      </c>
      <c r="AI247" s="82">
        <v>45566</v>
      </c>
      <c r="AJ247" s="111" t="s">
        <v>227</v>
      </c>
    </row>
    <row r="248" s="45" customFormat="1" ht="21" customHeight="1" spans="1:36">
      <c r="A248" s="68" t="s">
        <v>93</v>
      </c>
      <c r="B248" s="68" t="s">
        <v>612</v>
      </c>
      <c r="C248" s="106">
        <v>2</v>
      </c>
      <c r="D248" s="69"/>
      <c r="E248" s="68">
        <f t="shared" ref="E248:Z248" si="160">SUM(E249:E250)</f>
        <v>1</v>
      </c>
      <c r="F248" s="68">
        <f t="shared" si="160"/>
        <v>1</v>
      </c>
      <c r="G248" s="68">
        <f t="shared" si="160"/>
        <v>0</v>
      </c>
      <c r="H248" s="68">
        <f t="shared" si="160"/>
        <v>0</v>
      </c>
      <c r="I248" s="68">
        <f t="shared" si="160"/>
        <v>0</v>
      </c>
      <c r="J248" s="68">
        <f t="shared" si="160"/>
        <v>0</v>
      </c>
      <c r="K248" s="68">
        <f t="shared" si="160"/>
        <v>698</v>
      </c>
      <c r="L248" s="68">
        <f t="shared" si="160"/>
        <v>0</v>
      </c>
      <c r="M248" s="72">
        <f t="shared" si="160"/>
        <v>0</v>
      </c>
      <c r="N248" s="68">
        <f t="shared" si="160"/>
        <v>1246</v>
      </c>
      <c r="O248" s="68">
        <f t="shared" si="160"/>
        <v>100</v>
      </c>
      <c r="P248" s="68">
        <f t="shared" si="160"/>
        <v>200</v>
      </c>
      <c r="Q248" s="68">
        <f t="shared" si="160"/>
        <v>1246</v>
      </c>
      <c r="R248" s="68">
        <f t="shared" si="160"/>
        <v>9</v>
      </c>
      <c r="S248" s="68">
        <f t="shared" si="160"/>
        <v>0</v>
      </c>
      <c r="T248" s="68">
        <f t="shared" si="160"/>
        <v>9</v>
      </c>
      <c r="U248" s="68">
        <f t="shared" si="160"/>
        <v>270</v>
      </c>
      <c r="V248" s="68">
        <f t="shared" si="160"/>
        <v>300</v>
      </c>
      <c r="W248" s="68">
        <f t="shared" si="160"/>
        <v>300</v>
      </c>
      <c r="X248" s="68">
        <f t="shared" si="160"/>
        <v>0</v>
      </c>
      <c r="Y248" s="68">
        <f t="shared" si="160"/>
        <v>0</v>
      </c>
      <c r="Z248" s="68">
        <f t="shared" si="160"/>
        <v>0</v>
      </c>
      <c r="AA248" s="68"/>
      <c r="AB248" s="68"/>
      <c r="AC248" s="68"/>
      <c r="AD248" s="68"/>
      <c r="AE248" s="68"/>
      <c r="AF248" s="68">
        <f>SUM(AF249:AF250)</f>
        <v>205</v>
      </c>
      <c r="AG248" s="68">
        <f>SUM(AG249:AG250)</f>
        <v>205</v>
      </c>
      <c r="AH248" s="108"/>
      <c r="AI248" s="108"/>
      <c r="AJ248" s="109"/>
    </row>
    <row r="249" s="50" customFormat="1" ht="21" customHeight="1" spans="1:36">
      <c r="A249" s="38">
        <v>1</v>
      </c>
      <c r="B249" s="7" t="s">
        <v>613</v>
      </c>
      <c r="C249" s="7" t="s">
        <v>614</v>
      </c>
      <c r="D249" s="7" t="s">
        <v>87</v>
      </c>
      <c r="E249" s="38">
        <v>1</v>
      </c>
      <c r="F249" s="7"/>
      <c r="G249" s="7"/>
      <c r="H249" s="7"/>
      <c r="I249" s="7"/>
      <c r="J249" s="7"/>
      <c r="K249" s="7">
        <v>698</v>
      </c>
      <c r="L249" s="7"/>
      <c r="M249" s="10" t="s">
        <v>615</v>
      </c>
      <c r="N249" s="7">
        <v>1246</v>
      </c>
      <c r="O249" s="7">
        <v>100</v>
      </c>
      <c r="P249" s="7">
        <v>100</v>
      </c>
      <c r="Q249" s="7">
        <v>1246</v>
      </c>
      <c r="R249" s="7">
        <v>9</v>
      </c>
      <c r="S249" s="7"/>
      <c r="T249" s="7">
        <v>9</v>
      </c>
      <c r="U249" s="7">
        <v>270</v>
      </c>
      <c r="V249" s="7">
        <v>200</v>
      </c>
      <c r="W249" s="7">
        <v>200</v>
      </c>
      <c r="X249" s="7"/>
      <c r="Y249" s="7"/>
      <c r="Z249" s="7"/>
      <c r="AA249" s="38">
        <f>[1]参数!$D$1</f>
        <v>0.096</v>
      </c>
      <c r="AB249" s="38"/>
      <c r="AC249" s="38">
        <f>IF((T249)&gt;=12,3200,IF((T249)&gt;=9,2500,IF((T249)&gt;=6,1800,1200)))</f>
        <v>2500</v>
      </c>
      <c r="AD249" s="38">
        <f>ROUND(MIN(AC249,N249),0)</f>
        <v>1246</v>
      </c>
      <c r="AE249" s="38">
        <f>AA249*AD249</f>
        <v>119.616</v>
      </c>
      <c r="AF249" s="38">
        <f t="shared" si="159"/>
        <v>120</v>
      </c>
      <c r="AG249" s="38">
        <f>ROUND((AF249*$AM$1),0)</f>
        <v>120</v>
      </c>
      <c r="AH249" s="110">
        <v>45444</v>
      </c>
      <c r="AI249" s="110">
        <v>45536</v>
      </c>
      <c r="AJ249" s="111" t="s">
        <v>129</v>
      </c>
    </row>
    <row r="250" s="45" customFormat="1" ht="21" customHeight="1" spans="1:36">
      <c r="A250" s="38">
        <v>2</v>
      </c>
      <c r="B250" s="7" t="s">
        <v>616</v>
      </c>
      <c r="C250" s="7" t="s">
        <v>617</v>
      </c>
      <c r="D250" s="38" t="s">
        <v>70</v>
      </c>
      <c r="E250" s="69"/>
      <c r="F250" s="69">
        <v>1</v>
      </c>
      <c r="G250" s="69"/>
      <c r="H250" s="69"/>
      <c r="I250" s="69"/>
      <c r="J250" s="69"/>
      <c r="K250" s="69"/>
      <c r="L250" s="7"/>
      <c r="M250" s="10" t="s">
        <v>526</v>
      </c>
      <c r="N250" s="69"/>
      <c r="O250" s="69"/>
      <c r="P250" s="7">
        <v>100</v>
      </c>
      <c r="Q250" s="69"/>
      <c r="R250" s="69"/>
      <c r="S250" s="69"/>
      <c r="T250" s="69"/>
      <c r="U250" s="69"/>
      <c r="V250" s="7">
        <v>100</v>
      </c>
      <c r="W250" s="7">
        <v>100</v>
      </c>
      <c r="X250" s="7"/>
      <c r="Y250" s="107"/>
      <c r="Z250" s="107"/>
      <c r="AA250" s="69"/>
      <c r="AB250" s="69"/>
      <c r="AC250" s="69"/>
      <c r="AD250" s="69"/>
      <c r="AE250" s="38">
        <f>INT(IF(V250&lt;[1]参数!$F$9,V250*[1]参数!$F$10,[1]参数!$F$9*[1]参数!$F$10+(V250-[1]参数!$F$9)*[1]参数!$G$10))</f>
        <v>85</v>
      </c>
      <c r="AF250" s="38">
        <f t="shared" si="159"/>
        <v>85</v>
      </c>
      <c r="AG250" s="38">
        <f>ROUND((AF250*$AM$1),0)</f>
        <v>85</v>
      </c>
      <c r="AH250" s="110">
        <v>45292</v>
      </c>
      <c r="AI250" s="110">
        <v>45505</v>
      </c>
      <c r="AJ250" s="111" t="s">
        <v>72</v>
      </c>
    </row>
    <row r="251" s="56" customFormat="1" ht="18" spans="1:36">
      <c r="A251" s="68" t="s">
        <v>109</v>
      </c>
      <c r="B251" s="106" t="s">
        <v>618</v>
      </c>
      <c r="C251" s="106">
        <v>3</v>
      </c>
      <c r="D251" s="106"/>
      <c r="E251" s="68">
        <f t="shared" ref="E251:Z251" si="161">SUM(E252:E254)</f>
        <v>1</v>
      </c>
      <c r="F251" s="68">
        <f t="shared" si="161"/>
        <v>0</v>
      </c>
      <c r="G251" s="68">
        <f t="shared" si="161"/>
        <v>0</v>
      </c>
      <c r="H251" s="68">
        <f t="shared" si="161"/>
        <v>2</v>
      </c>
      <c r="I251" s="68">
        <f t="shared" si="161"/>
        <v>0</v>
      </c>
      <c r="J251" s="68">
        <f t="shared" si="161"/>
        <v>0</v>
      </c>
      <c r="K251" s="68">
        <f t="shared" si="161"/>
        <v>6752.88</v>
      </c>
      <c r="L251" s="68">
        <f t="shared" si="161"/>
        <v>0</v>
      </c>
      <c r="M251" s="72">
        <f t="shared" si="161"/>
        <v>0</v>
      </c>
      <c r="N251" s="68">
        <f t="shared" si="161"/>
        <v>13818</v>
      </c>
      <c r="O251" s="68">
        <f t="shared" si="161"/>
        <v>1480</v>
      </c>
      <c r="P251" s="68">
        <f t="shared" si="161"/>
        <v>420</v>
      </c>
      <c r="Q251" s="68">
        <f t="shared" si="161"/>
        <v>13818</v>
      </c>
      <c r="R251" s="68">
        <f t="shared" si="161"/>
        <v>39</v>
      </c>
      <c r="S251" s="68">
        <f t="shared" si="161"/>
        <v>720</v>
      </c>
      <c r="T251" s="68">
        <f t="shared" si="161"/>
        <v>15</v>
      </c>
      <c r="U251" s="68">
        <f t="shared" si="161"/>
        <v>450</v>
      </c>
      <c r="V251" s="68">
        <f t="shared" si="161"/>
        <v>1900</v>
      </c>
      <c r="W251" s="68">
        <f t="shared" si="161"/>
        <v>1660</v>
      </c>
      <c r="X251" s="68">
        <f t="shared" si="161"/>
        <v>0</v>
      </c>
      <c r="Y251" s="68">
        <f t="shared" si="161"/>
        <v>240</v>
      </c>
      <c r="Z251" s="68">
        <f t="shared" si="161"/>
        <v>0</v>
      </c>
      <c r="AA251" s="68"/>
      <c r="AB251" s="68"/>
      <c r="AC251" s="68"/>
      <c r="AD251" s="68"/>
      <c r="AE251" s="68"/>
      <c r="AF251" s="68">
        <f>SUM(AF252:AF254)</f>
        <v>1016</v>
      </c>
      <c r="AG251" s="68">
        <f>SUM(AG252:AG254)</f>
        <v>1016</v>
      </c>
      <c r="AH251" s="108"/>
      <c r="AI251" s="108"/>
      <c r="AJ251" s="84"/>
    </row>
    <row r="252" s="50" customFormat="1" ht="25" customHeight="1" spans="1:36">
      <c r="A252" s="38">
        <v>1</v>
      </c>
      <c r="B252" s="7" t="s">
        <v>619</v>
      </c>
      <c r="C252" s="7" t="s">
        <v>620</v>
      </c>
      <c r="D252" s="7" t="s">
        <v>87</v>
      </c>
      <c r="E252" s="38">
        <v>1</v>
      </c>
      <c r="F252" s="7"/>
      <c r="G252" s="7"/>
      <c r="H252" s="7"/>
      <c r="I252" s="7"/>
      <c r="J252" s="7"/>
      <c r="K252" s="7">
        <v>3488</v>
      </c>
      <c r="L252" s="7"/>
      <c r="M252" s="10" t="s">
        <v>621</v>
      </c>
      <c r="N252" s="7">
        <v>4627</v>
      </c>
      <c r="O252" s="7">
        <v>280</v>
      </c>
      <c r="P252" s="7">
        <v>20</v>
      </c>
      <c r="Q252" s="7">
        <v>4627</v>
      </c>
      <c r="R252" s="7">
        <v>15</v>
      </c>
      <c r="S252" s="7"/>
      <c r="T252" s="7">
        <v>15</v>
      </c>
      <c r="U252" s="7">
        <v>450</v>
      </c>
      <c r="V252" s="7">
        <v>300</v>
      </c>
      <c r="W252" s="7">
        <v>300</v>
      </c>
      <c r="X252" s="7"/>
      <c r="Y252" s="7"/>
      <c r="Z252" s="7"/>
      <c r="AA252" s="38">
        <f>[1]参数!$D$1</f>
        <v>0.096</v>
      </c>
      <c r="AB252" s="38"/>
      <c r="AC252" s="38">
        <f>IF((T252)&gt;=12,3200,IF((T252)&gt;=9,2500,IF((T252)&gt;=6,1800,1200)))</f>
        <v>3200</v>
      </c>
      <c r="AD252" s="38">
        <f>ROUND(MIN(AC252,N252),0)</f>
        <v>3200</v>
      </c>
      <c r="AE252" s="38">
        <f>AA252*AD252</f>
        <v>307.2</v>
      </c>
      <c r="AF252" s="38">
        <f>ROUND(MIN(AE252,W252),0)</f>
        <v>300</v>
      </c>
      <c r="AG252" s="38">
        <f>ROUND((AF252*$AM$1),0)</f>
        <v>300</v>
      </c>
      <c r="AH252" s="110">
        <v>45444</v>
      </c>
      <c r="AI252" s="110">
        <v>45505</v>
      </c>
      <c r="AJ252" s="111" t="s">
        <v>622</v>
      </c>
    </row>
    <row r="253" s="50" customFormat="1" ht="25" customHeight="1" spans="1:36">
      <c r="A253" s="38">
        <v>2</v>
      </c>
      <c r="B253" s="7" t="s">
        <v>623</v>
      </c>
      <c r="C253" s="7" t="s">
        <v>624</v>
      </c>
      <c r="D253" s="38" t="s">
        <v>26</v>
      </c>
      <c r="E253" s="7"/>
      <c r="F253" s="7"/>
      <c r="G253" s="7"/>
      <c r="H253" s="38">
        <v>1</v>
      </c>
      <c r="I253" s="7"/>
      <c r="J253" s="7"/>
      <c r="K253" s="7">
        <v>1547.88</v>
      </c>
      <c r="L253" s="7" t="s">
        <v>625</v>
      </c>
      <c r="M253" s="10" t="s">
        <v>626</v>
      </c>
      <c r="N253" s="7">
        <v>4691</v>
      </c>
      <c r="O253" s="7">
        <v>600</v>
      </c>
      <c r="P253" s="7">
        <v>200</v>
      </c>
      <c r="Q253" s="7">
        <v>4691</v>
      </c>
      <c r="R253" s="7">
        <v>12</v>
      </c>
      <c r="S253" s="7">
        <v>360</v>
      </c>
      <c r="T253" s="7"/>
      <c r="U253" s="7"/>
      <c r="V253" s="7">
        <v>800</v>
      </c>
      <c r="W253" s="7">
        <v>680</v>
      </c>
      <c r="X253" s="7"/>
      <c r="Y253" s="7">
        <v>120</v>
      </c>
      <c r="Z253" s="7"/>
      <c r="AA253" s="38">
        <f>[1]参数!$B$1</f>
        <v>0.28</v>
      </c>
      <c r="AB253" s="38">
        <f>[1]参数!$B$4</f>
        <v>0.4</v>
      </c>
      <c r="AC253" s="38">
        <f t="shared" ref="AC253:AC256" si="162">IF(R253&gt;=12,3200,IF(R253&gt;=9,2500,IF(R253&gt;=6,1800,1200)))</f>
        <v>3200</v>
      </c>
      <c r="AD253" s="38">
        <f t="shared" ref="AD253:AD256" si="163">ROUND(MIN(N253,AC253),0)</f>
        <v>3200</v>
      </c>
      <c r="AE253" s="38">
        <f t="shared" ref="AE253:AE256" si="164">AA253*AB253*AD253</f>
        <v>358.4</v>
      </c>
      <c r="AF253" s="38">
        <f t="shared" ref="AF253:AF256" si="165">ROUND(MIN(W253,AE253),0)</f>
        <v>358</v>
      </c>
      <c r="AG253" s="38">
        <f>ROUND((AF253*$AM$1),0)</f>
        <v>358</v>
      </c>
      <c r="AH253" s="110">
        <v>45413</v>
      </c>
      <c r="AI253" s="110">
        <v>45536</v>
      </c>
      <c r="AJ253" s="111" t="s">
        <v>58</v>
      </c>
    </row>
    <row r="254" s="50" customFormat="1" ht="40" customHeight="1" spans="1:36">
      <c r="A254" s="38">
        <v>3</v>
      </c>
      <c r="B254" s="7" t="s">
        <v>619</v>
      </c>
      <c r="C254" s="7" t="s">
        <v>627</v>
      </c>
      <c r="D254" s="38" t="s">
        <v>26</v>
      </c>
      <c r="E254" s="7"/>
      <c r="F254" s="7"/>
      <c r="G254" s="7"/>
      <c r="H254" s="38">
        <v>1</v>
      </c>
      <c r="I254" s="7"/>
      <c r="J254" s="7"/>
      <c r="K254" s="7">
        <v>1717</v>
      </c>
      <c r="L254" s="7" t="s">
        <v>628</v>
      </c>
      <c r="M254" s="10" t="s">
        <v>626</v>
      </c>
      <c r="N254" s="7">
        <v>4500</v>
      </c>
      <c r="O254" s="7">
        <v>600</v>
      </c>
      <c r="P254" s="7">
        <v>200</v>
      </c>
      <c r="Q254" s="7">
        <v>4500</v>
      </c>
      <c r="R254" s="7">
        <v>12</v>
      </c>
      <c r="S254" s="7">
        <v>360</v>
      </c>
      <c r="T254" s="7"/>
      <c r="U254" s="7"/>
      <c r="V254" s="7">
        <v>800</v>
      </c>
      <c r="W254" s="7">
        <v>680</v>
      </c>
      <c r="X254" s="7"/>
      <c r="Y254" s="7">
        <v>120</v>
      </c>
      <c r="Z254" s="7"/>
      <c r="AA254" s="38">
        <f>[1]参数!$B$1</f>
        <v>0.28</v>
      </c>
      <c r="AB254" s="38">
        <f>[1]参数!$B$4</f>
        <v>0.4</v>
      </c>
      <c r="AC254" s="38">
        <f t="shared" si="162"/>
        <v>3200</v>
      </c>
      <c r="AD254" s="38">
        <f t="shared" si="163"/>
        <v>3200</v>
      </c>
      <c r="AE254" s="38">
        <f t="shared" si="164"/>
        <v>358.4</v>
      </c>
      <c r="AF254" s="38">
        <f t="shared" si="165"/>
        <v>358</v>
      </c>
      <c r="AG254" s="38">
        <f>ROUND((AF254*$AM$1),0)</f>
        <v>358</v>
      </c>
      <c r="AH254" s="110">
        <v>45597</v>
      </c>
      <c r="AI254" s="110">
        <v>45839</v>
      </c>
      <c r="AJ254" s="111" t="s">
        <v>629</v>
      </c>
    </row>
    <row r="255" s="56" customFormat="1" ht="18" spans="1:36">
      <c r="A255" s="106" t="s">
        <v>118</v>
      </c>
      <c r="B255" s="68" t="s">
        <v>630</v>
      </c>
      <c r="C255" s="106">
        <v>1</v>
      </c>
      <c r="D255" s="106"/>
      <c r="E255" s="68">
        <f t="shared" ref="E255:Z255" si="166">SUM(E256)</f>
        <v>0</v>
      </c>
      <c r="F255" s="68">
        <f t="shared" si="166"/>
        <v>0</v>
      </c>
      <c r="G255" s="68">
        <f t="shared" si="166"/>
        <v>0</v>
      </c>
      <c r="H255" s="68">
        <f t="shared" si="166"/>
        <v>1</v>
      </c>
      <c r="I255" s="68">
        <f t="shared" si="166"/>
        <v>0</v>
      </c>
      <c r="J255" s="68">
        <f t="shared" si="166"/>
        <v>0</v>
      </c>
      <c r="K255" s="68">
        <f t="shared" si="166"/>
        <v>4000</v>
      </c>
      <c r="L255" s="68">
        <f t="shared" si="166"/>
        <v>0</v>
      </c>
      <c r="M255" s="72">
        <f t="shared" si="166"/>
        <v>0</v>
      </c>
      <c r="N255" s="68">
        <f t="shared" si="166"/>
        <v>6000</v>
      </c>
      <c r="O255" s="68">
        <f t="shared" si="166"/>
        <v>390</v>
      </c>
      <c r="P255" s="68">
        <f t="shared" si="166"/>
        <v>420</v>
      </c>
      <c r="Q255" s="68">
        <f t="shared" si="166"/>
        <v>6000</v>
      </c>
      <c r="R255" s="68">
        <f t="shared" si="166"/>
        <v>12</v>
      </c>
      <c r="S255" s="68">
        <f t="shared" si="166"/>
        <v>360</v>
      </c>
      <c r="T255" s="68">
        <f t="shared" si="166"/>
        <v>0</v>
      </c>
      <c r="U255" s="68">
        <f t="shared" si="166"/>
        <v>0</v>
      </c>
      <c r="V255" s="68">
        <f t="shared" si="166"/>
        <v>810</v>
      </c>
      <c r="W255" s="68">
        <f t="shared" si="166"/>
        <v>480</v>
      </c>
      <c r="X255" s="68">
        <f t="shared" si="166"/>
        <v>0</v>
      </c>
      <c r="Y255" s="68">
        <f t="shared" si="166"/>
        <v>330</v>
      </c>
      <c r="Z255" s="68">
        <f t="shared" si="166"/>
        <v>0</v>
      </c>
      <c r="AA255" s="68"/>
      <c r="AB255" s="68"/>
      <c r="AC255" s="68"/>
      <c r="AD255" s="68"/>
      <c r="AE255" s="68"/>
      <c r="AF255" s="68">
        <f>SUM(AF256)</f>
        <v>358</v>
      </c>
      <c r="AG255" s="68">
        <f>SUM(AG256)</f>
        <v>358</v>
      </c>
      <c r="AH255" s="108"/>
      <c r="AI255" s="108"/>
      <c r="AJ255" s="109"/>
    </row>
    <row r="256" s="50" customFormat="1" ht="24" customHeight="1" spans="1:36">
      <c r="A256" s="7">
        <v>1</v>
      </c>
      <c r="B256" s="7" t="s">
        <v>631</v>
      </c>
      <c r="C256" s="7" t="s">
        <v>632</v>
      </c>
      <c r="D256" s="38" t="s">
        <v>26</v>
      </c>
      <c r="E256" s="7"/>
      <c r="F256" s="7"/>
      <c r="G256" s="7"/>
      <c r="H256" s="38">
        <v>1</v>
      </c>
      <c r="I256" s="7"/>
      <c r="J256" s="7"/>
      <c r="K256" s="7">
        <v>4000</v>
      </c>
      <c r="L256" s="7"/>
      <c r="M256" s="10" t="s">
        <v>633</v>
      </c>
      <c r="N256" s="7">
        <v>6000</v>
      </c>
      <c r="O256" s="7">
        <v>390</v>
      </c>
      <c r="P256" s="7">
        <v>420</v>
      </c>
      <c r="Q256" s="7">
        <v>6000</v>
      </c>
      <c r="R256" s="7">
        <v>12</v>
      </c>
      <c r="S256" s="7">
        <v>360</v>
      </c>
      <c r="T256" s="7"/>
      <c r="U256" s="7"/>
      <c r="V256" s="7">
        <v>810</v>
      </c>
      <c r="W256" s="7">
        <v>480</v>
      </c>
      <c r="X256" s="7"/>
      <c r="Y256" s="7">
        <v>330</v>
      </c>
      <c r="Z256" s="7"/>
      <c r="AA256" s="38">
        <f>[1]参数!$B$1</f>
        <v>0.28</v>
      </c>
      <c r="AB256" s="38">
        <f>[1]参数!$B$4</f>
        <v>0.4</v>
      </c>
      <c r="AC256" s="38">
        <f t="shared" si="162"/>
        <v>3200</v>
      </c>
      <c r="AD256" s="38">
        <f t="shared" si="163"/>
        <v>3200</v>
      </c>
      <c r="AE256" s="38">
        <f t="shared" si="164"/>
        <v>358.4</v>
      </c>
      <c r="AF256" s="38">
        <f t="shared" si="165"/>
        <v>358</v>
      </c>
      <c r="AG256" s="38">
        <f>ROUND((AF256*$AM$1),0)</f>
        <v>358</v>
      </c>
      <c r="AH256" s="110">
        <v>45505</v>
      </c>
      <c r="AI256" s="110">
        <v>45901</v>
      </c>
      <c r="AJ256" s="111" t="s">
        <v>58</v>
      </c>
    </row>
    <row r="257" s="45" customFormat="1" ht="24" customHeight="1" spans="1:36">
      <c r="A257" s="38"/>
      <c r="B257" s="68" t="s">
        <v>634</v>
      </c>
      <c r="C257" s="68">
        <v>2</v>
      </c>
      <c r="D257" s="69"/>
      <c r="E257" s="68">
        <f t="shared" ref="E257:Z257" si="167">SUM(E258:E259)</f>
        <v>1</v>
      </c>
      <c r="F257" s="68">
        <f t="shared" si="167"/>
        <v>1</v>
      </c>
      <c r="G257" s="68">
        <f t="shared" si="167"/>
        <v>0</v>
      </c>
      <c r="H257" s="68">
        <f t="shared" si="167"/>
        <v>0</v>
      </c>
      <c r="I257" s="68">
        <f t="shared" si="167"/>
        <v>0</v>
      </c>
      <c r="J257" s="68">
        <f t="shared" si="167"/>
        <v>0</v>
      </c>
      <c r="K257" s="68">
        <f t="shared" si="167"/>
        <v>7714</v>
      </c>
      <c r="L257" s="68">
        <f t="shared" si="167"/>
        <v>0</v>
      </c>
      <c r="M257" s="72">
        <f t="shared" si="167"/>
        <v>0</v>
      </c>
      <c r="N257" s="68">
        <f t="shared" si="167"/>
        <v>4723</v>
      </c>
      <c r="O257" s="68">
        <f t="shared" si="167"/>
        <v>400</v>
      </c>
      <c r="P257" s="68">
        <f t="shared" si="167"/>
        <v>350</v>
      </c>
      <c r="Q257" s="68">
        <f t="shared" si="167"/>
        <v>4723</v>
      </c>
      <c r="R257" s="68">
        <f t="shared" si="167"/>
        <v>12</v>
      </c>
      <c r="S257" s="68">
        <f t="shared" si="167"/>
        <v>0</v>
      </c>
      <c r="T257" s="68">
        <f t="shared" si="167"/>
        <v>12</v>
      </c>
      <c r="U257" s="68">
        <f t="shared" si="167"/>
        <v>360</v>
      </c>
      <c r="V257" s="68">
        <f t="shared" si="167"/>
        <v>750</v>
      </c>
      <c r="W257" s="68">
        <f t="shared" si="167"/>
        <v>630</v>
      </c>
      <c r="X257" s="68">
        <f t="shared" si="167"/>
        <v>0</v>
      </c>
      <c r="Y257" s="68">
        <f t="shared" si="167"/>
        <v>120</v>
      </c>
      <c r="Z257" s="68">
        <f t="shared" si="167"/>
        <v>0</v>
      </c>
      <c r="AA257" s="68"/>
      <c r="AB257" s="68"/>
      <c r="AC257" s="68"/>
      <c r="AD257" s="68"/>
      <c r="AE257" s="68"/>
      <c r="AF257" s="68">
        <f>SUM(AF258:AF259)</f>
        <v>502</v>
      </c>
      <c r="AG257" s="68">
        <f>SUM(AG258:AG259)</f>
        <v>502</v>
      </c>
      <c r="AH257" s="81"/>
      <c r="AI257" s="81"/>
      <c r="AJ257" s="84"/>
    </row>
    <row r="258" s="58" customFormat="1" ht="24" customHeight="1" spans="1:36">
      <c r="A258" s="38">
        <v>1</v>
      </c>
      <c r="B258" s="38" t="s">
        <v>635</v>
      </c>
      <c r="C258" s="38" t="s">
        <v>636</v>
      </c>
      <c r="D258" s="38" t="s">
        <v>87</v>
      </c>
      <c r="E258" s="38">
        <v>1</v>
      </c>
      <c r="F258" s="38"/>
      <c r="G258" s="38"/>
      <c r="H258" s="38"/>
      <c r="I258" s="38"/>
      <c r="J258" s="38"/>
      <c r="K258" s="38">
        <v>7714</v>
      </c>
      <c r="L258" s="69"/>
      <c r="M258" s="73" t="s">
        <v>637</v>
      </c>
      <c r="N258" s="38">
        <v>4723</v>
      </c>
      <c r="O258" s="38">
        <v>400</v>
      </c>
      <c r="P258" s="38">
        <v>50</v>
      </c>
      <c r="Q258" s="38">
        <v>4723</v>
      </c>
      <c r="R258" s="38">
        <v>12</v>
      </c>
      <c r="S258" s="38"/>
      <c r="T258" s="38">
        <v>12</v>
      </c>
      <c r="U258" s="38">
        <v>360</v>
      </c>
      <c r="V258" s="38">
        <v>450</v>
      </c>
      <c r="W258" s="38">
        <v>380</v>
      </c>
      <c r="X258" s="38">
        <v>0</v>
      </c>
      <c r="Y258" s="38">
        <v>70</v>
      </c>
      <c r="Z258" s="38">
        <v>0</v>
      </c>
      <c r="AA258" s="38">
        <f>[1]参数!$D$1</f>
        <v>0.096</v>
      </c>
      <c r="AB258" s="38"/>
      <c r="AC258" s="38">
        <f>IF((T258)&gt;=12,3200,IF((T258)&gt;=9,2500,IF((T258)&gt;=6,1800,1200)))</f>
        <v>3200</v>
      </c>
      <c r="AD258" s="38">
        <f>ROUND(MIN(AC258,N258),0)</f>
        <v>3200</v>
      </c>
      <c r="AE258" s="38">
        <f>AA258*AD258</f>
        <v>307.2</v>
      </c>
      <c r="AF258" s="38">
        <f>ROUND(MIN(AE258,W258),0)</f>
        <v>307</v>
      </c>
      <c r="AG258" s="38">
        <f>ROUND((AF258*$AM$1),0)</f>
        <v>307</v>
      </c>
      <c r="AH258" s="113">
        <v>2024.1</v>
      </c>
      <c r="AI258" s="82">
        <v>45627</v>
      </c>
      <c r="AJ258" s="83" t="s">
        <v>638</v>
      </c>
    </row>
    <row r="259" s="45" customFormat="1" ht="24" customHeight="1" spans="1:36">
      <c r="A259" s="38">
        <v>2</v>
      </c>
      <c r="B259" s="38" t="s">
        <v>639</v>
      </c>
      <c r="C259" s="38" t="s">
        <v>640</v>
      </c>
      <c r="D259" s="38" t="s">
        <v>70</v>
      </c>
      <c r="E259" s="69"/>
      <c r="F259" s="69">
        <v>1</v>
      </c>
      <c r="G259" s="69"/>
      <c r="H259" s="69"/>
      <c r="I259" s="69"/>
      <c r="J259" s="69"/>
      <c r="K259" s="69"/>
      <c r="L259" s="38"/>
      <c r="M259" s="73" t="s">
        <v>641</v>
      </c>
      <c r="N259" s="69"/>
      <c r="O259" s="69"/>
      <c r="P259" s="38">
        <v>300</v>
      </c>
      <c r="Q259" s="69"/>
      <c r="R259" s="69"/>
      <c r="S259" s="69"/>
      <c r="T259" s="69"/>
      <c r="U259" s="69"/>
      <c r="V259" s="38">
        <v>300</v>
      </c>
      <c r="W259" s="38">
        <v>250</v>
      </c>
      <c r="X259" s="38">
        <v>0</v>
      </c>
      <c r="Y259" s="38">
        <v>50</v>
      </c>
      <c r="Z259" s="38">
        <v>0</v>
      </c>
      <c r="AA259" s="69"/>
      <c r="AB259" s="69"/>
      <c r="AC259" s="69"/>
      <c r="AD259" s="69"/>
      <c r="AE259" s="38">
        <f>INT(IF(V259&lt;[1]参数!$F$9,V259*[1]参数!$F$10,[1]参数!$F$9*[1]参数!$F$10+(V259-[1]参数!$F$9)*[1]参数!$G$10))</f>
        <v>195</v>
      </c>
      <c r="AF259" s="38">
        <f>ROUND(MIN(AE259,W259),0)</f>
        <v>195</v>
      </c>
      <c r="AG259" s="38">
        <f>ROUND((AF259*$AM$1),0)</f>
        <v>195</v>
      </c>
      <c r="AH259" s="82">
        <v>45444</v>
      </c>
      <c r="AI259" s="82">
        <v>45627</v>
      </c>
      <c r="AJ259" s="83"/>
    </row>
  </sheetData>
  <autoFilter ref="A4:AM259">
    <extLst/>
  </autoFilter>
  <mergeCells count="23">
    <mergeCell ref="A1:B1"/>
    <mergeCell ref="A2:AJ2"/>
    <mergeCell ref="E3:J3"/>
    <mergeCell ref="N3:P3"/>
    <mergeCell ref="Q3:U3"/>
    <mergeCell ref="V3:Z3"/>
    <mergeCell ref="A3:A4"/>
    <mergeCell ref="B3:B4"/>
    <mergeCell ref="C3:C4"/>
    <mergeCell ref="D3:D4"/>
    <mergeCell ref="K3:K4"/>
    <mergeCell ref="L3:L4"/>
    <mergeCell ref="M3:M4"/>
    <mergeCell ref="AA3:AA4"/>
    <mergeCell ref="AB3:AB4"/>
    <mergeCell ref="AC3:AC4"/>
    <mergeCell ref="AD3:AD4"/>
    <mergeCell ref="AE3:AE4"/>
    <mergeCell ref="AF3:AF4"/>
    <mergeCell ref="AG3:AG4"/>
    <mergeCell ref="AH3:AH4"/>
    <mergeCell ref="AI3:AI4"/>
    <mergeCell ref="AJ3:AJ4"/>
  </mergeCells>
  <pageMargins left="0.314583333333333" right="0.236111111111111" top="0.472222222222222" bottom="0.354166666666667" header="0.314583333333333" footer="0.196527777777778"/>
  <pageSetup paperSize="9" scale="60" firstPageNumber="5" fitToHeight="0" orientation="portrait" useFirstPageNumber="1" horizontalDpi="600"/>
  <headerFooter differentOddEven="1">
    <oddFooter>&amp;R&amp;14- &amp;P -</oddFooter>
    <evenFooter>&amp;L&amp;14- &amp;P -</evenFooter>
  </headerFooter>
  <rowBreaks count="5" manualBreakCount="5">
    <brk id="47" max="16383" man="1"/>
    <brk id="94" max="16383" man="1"/>
    <brk id="142" max="16383" man="1"/>
    <brk id="188" max="16383" man="1"/>
    <brk id="24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6"/>
  <sheetViews>
    <sheetView workbookViewId="0">
      <selection activeCell="A28" sqref="A28"/>
    </sheetView>
  </sheetViews>
  <sheetFormatPr defaultColWidth="9" defaultRowHeight="14.25" outlineLevelCol="3"/>
  <cols>
    <col min="1" max="1" width="24.625" customWidth="1"/>
    <col min="2" max="2" width="21.375" customWidth="1"/>
    <col min="3" max="3" width="21.125" customWidth="1"/>
    <col min="4" max="4" width="17.125" style="27" customWidth="1"/>
  </cols>
  <sheetData>
    <row r="1" ht="18" spans="1:2">
      <c r="A1" s="28" t="s">
        <v>642</v>
      </c>
      <c r="B1" s="28"/>
    </row>
    <row r="2" ht="54" customHeight="1" spans="1:4">
      <c r="A2" s="29" t="s">
        <v>643</v>
      </c>
      <c r="B2" s="29"/>
      <c r="C2" s="29"/>
      <c r="D2" s="29"/>
    </row>
    <row r="3" ht="49.5" spans="1:4">
      <c r="A3" s="30" t="s">
        <v>644</v>
      </c>
      <c r="B3" s="31" t="s">
        <v>19</v>
      </c>
      <c r="C3" s="31" t="s">
        <v>645</v>
      </c>
      <c r="D3" s="32" t="s">
        <v>646</v>
      </c>
    </row>
    <row r="4" s="25" customFormat="1" ht="15.75" spans="1:4">
      <c r="A4" s="33" t="s">
        <v>42</v>
      </c>
      <c r="B4" s="34">
        <f>B5+B20+B27+B39+B52+B67+B79+B87+B96</f>
        <v>33401</v>
      </c>
      <c r="C4" s="34">
        <f>C5+C20+C27+C39+C52+C67+C79+C87+C96</f>
        <v>35000</v>
      </c>
      <c r="D4" s="35">
        <f>D5+D20+D27+D39+D52+D67+D79+D87+D96</f>
        <v>-1599</v>
      </c>
    </row>
    <row r="5" s="25" customFormat="1" ht="15.75" spans="1:4">
      <c r="A5" s="33" t="s">
        <v>647</v>
      </c>
      <c r="B5" s="34">
        <f>SUM(B6:B19)</f>
        <v>6760</v>
      </c>
      <c r="C5" s="34">
        <f>SUM(C6:C19)</f>
        <v>7014</v>
      </c>
      <c r="D5" s="35">
        <f>SUM(D6:D19)</f>
        <v>-254</v>
      </c>
    </row>
    <row r="6" s="26" customFormat="1" ht="15.75" spans="1:4">
      <c r="A6" s="36" t="s">
        <v>45</v>
      </c>
      <c r="B6" s="37">
        <v>500</v>
      </c>
      <c r="C6" s="38">
        <v>468</v>
      </c>
      <c r="D6" s="39">
        <f>B6-C6</f>
        <v>32</v>
      </c>
    </row>
    <row r="7" s="26" customFormat="1" ht="15.75" spans="1:4">
      <c r="A7" s="36" t="s">
        <v>51</v>
      </c>
      <c r="B7" s="37">
        <v>570</v>
      </c>
      <c r="C7" s="38">
        <v>1090</v>
      </c>
      <c r="D7" s="39">
        <f t="shared" ref="D7:D38" si="0">B7-C7</f>
        <v>-520</v>
      </c>
    </row>
    <row r="8" s="26" customFormat="1" ht="15.75" spans="1:4">
      <c r="A8" s="36" t="s">
        <v>60</v>
      </c>
      <c r="B8" s="37">
        <v>358</v>
      </c>
      <c r="C8" s="38">
        <v>333</v>
      </c>
      <c r="D8" s="39">
        <f t="shared" si="0"/>
        <v>25</v>
      </c>
    </row>
    <row r="9" s="26" customFormat="1" ht="15.75" spans="1:4">
      <c r="A9" s="36" t="s">
        <v>67</v>
      </c>
      <c r="B9" s="37">
        <v>727</v>
      </c>
      <c r="C9" s="38">
        <v>711</v>
      </c>
      <c r="D9" s="39">
        <f t="shared" si="0"/>
        <v>16</v>
      </c>
    </row>
    <row r="10" s="26" customFormat="1" ht="15.75" spans="1:4">
      <c r="A10" s="36" t="s">
        <v>648</v>
      </c>
      <c r="B10" s="37"/>
      <c r="C10" s="38">
        <v>333</v>
      </c>
      <c r="D10" s="39">
        <f t="shared" si="0"/>
        <v>-333</v>
      </c>
    </row>
    <row r="11" s="26" customFormat="1" ht="15.75" spans="1:4">
      <c r="A11" s="36" t="s">
        <v>84</v>
      </c>
      <c r="B11" s="37">
        <v>514</v>
      </c>
      <c r="C11" s="38">
        <v>200</v>
      </c>
      <c r="D11" s="39">
        <f t="shared" si="0"/>
        <v>314</v>
      </c>
    </row>
    <row r="12" s="26" customFormat="1" ht="15.75" spans="1:4">
      <c r="A12" s="36" t="s">
        <v>110</v>
      </c>
      <c r="B12" s="37">
        <v>550</v>
      </c>
      <c r="C12" s="38">
        <v>550</v>
      </c>
      <c r="D12" s="39">
        <f t="shared" si="0"/>
        <v>0</v>
      </c>
    </row>
    <row r="13" s="26" customFormat="1" ht="15.75" spans="1:4">
      <c r="A13" s="36" t="s">
        <v>119</v>
      </c>
      <c r="B13" s="37">
        <v>100</v>
      </c>
      <c r="C13" s="38"/>
      <c r="D13" s="39">
        <f t="shared" si="0"/>
        <v>100</v>
      </c>
    </row>
    <row r="14" s="26" customFormat="1" ht="15.75" spans="1:4">
      <c r="A14" s="36" t="s">
        <v>124</v>
      </c>
      <c r="B14" s="37">
        <v>372</v>
      </c>
      <c r="C14" s="38">
        <v>182</v>
      </c>
      <c r="D14" s="39">
        <f t="shared" si="0"/>
        <v>190</v>
      </c>
    </row>
    <row r="15" s="26" customFormat="1" ht="15.75" spans="1:4">
      <c r="A15" s="36" t="s">
        <v>135</v>
      </c>
      <c r="B15" s="37">
        <v>414</v>
      </c>
      <c r="C15" s="38">
        <v>925</v>
      </c>
      <c r="D15" s="39">
        <f t="shared" si="0"/>
        <v>-511</v>
      </c>
    </row>
    <row r="16" s="26" customFormat="1" ht="15.75" spans="1:4">
      <c r="A16" s="36" t="s">
        <v>141</v>
      </c>
      <c r="B16" s="37">
        <v>167</v>
      </c>
      <c r="C16" s="38">
        <v>120</v>
      </c>
      <c r="D16" s="39">
        <f t="shared" si="0"/>
        <v>47</v>
      </c>
    </row>
    <row r="17" s="26" customFormat="1" ht="15.75" spans="1:4">
      <c r="A17" s="36" t="s">
        <v>148</v>
      </c>
      <c r="B17" s="37">
        <v>1452</v>
      </c>
      <c r="C17" s="38">
        <v>832</v>
      </c>
      <c r="D17" s="39">
        <f t="shared" si="0"/>
        <v>620</v>
      </c>
    </row>
    <row r="18" s="26" customFormat="1" ht="15.75" spans="1:4">
      <c r="A18" s="36" t="s">
        <v>94</v>
      </c>
      <c r="B18" s="37">
        <v>936</v>
      </c>
      <c r="C18" s="38">
        <f>1378-250</f>
        <v>1128</v>
      </c>
      <c r="D18" s="39">
        <f t="shared" si="0"/>
        <v>-192</v>
      </c>
    </row>
    <row r="19" s="26" customFormat="1" ht="15.75" spans="1:4">
      <c r="A19" s="36" t="s">
        <v>649</v>
      </c>
      <c r="B19" s="37">
        <v>100</v>
      </c>
      <c r="C19" s="38">
        <v>142</v>
      </c>
      <c r="D19" s="39">
        <f t="shared" si="0"/>
        <v>-42</v>
      </c>
    </row>
    <row r="20" s="25" customFormat="1" ht="15.75" spans="1:4">
      <c r="A20" s="33" t="s">
        <v>650</v>
      </c>
      <c r="B20" s="34">
        <f>SUM(B21:B26)</f>
        <v>2476</v>
      </c>
      <c r="C20" s="34">
        <f>SUM(C21:C26)</f>
        <v>1906</v>
      </c>
      <c r="D20" s="34">
        <f>SUM(D21:D26)</f>
        <v>570</v>
      </c>
    </row>
    <row r="21" s="26" customFormat="1" ht="15.75" spans="1:4">
      <c r="A21" s="36" t="s">
        <v>175</v>
      </c>
      <c r="B21" s="37">
        <v>623</v>
      </c>
      <c r="C21" s="38">
        <f>569-100</f>
        <v>469</v>
      </c>
      <c r="D21" s="39">
        <f t="shared" si="0"/>
        <v>154</v>
      </c>
    </row>
    <row r="22" s="26" customFormat="1" ht="15.75" spans="1:4">
      <c r="A22" s="36" t="s">
        <v>184</v>
      </c>
      <c r="B22" s="37">
        <v>280</v>
      </c>
      <c r="C22" s="38">
        <v>260</v>
      </c>
      <c r="D22" s="39">
        <f t="shared" si="0"/>
        <v>20</v>
      </c>
    </row>
    <row r="23" s="26" customFormat="1" ht="15.75" spans="1:4">
      <c r="A23" s="36" t="s">
        <v>188</v>
      </c>
      <c r="B23" s="37">
        <v>510</v>
      </c>
      <c r="C23" s="38">
        <v>360</v>
      </c>
      <c r="D23" s="39">
        <f t="shared" si="0"/>
        <v>150</v>
      </c>
    </row>
    <row r="24" s="26" customFormat="1" ht="15.75" spans="1:4">
      <c r="A24" s="36" t="s">
        <v>651</v>
      </c>
      <c r="B24" s="37">
        <v>350</v>
      </c>
      <c r="C24" s="38"/>
      <c r="D24" s="39">
        <f t="shared" si="0"/>
        <v>350</v>
      </c>
    </row>
    <row r="25" s="26" customFormat="1" ht="15.75" spans="1:4">
      <c r="A25" s="36" t="s">
        <v>209</v>
      </c>
      <c r="B25" s="37">
        <v>577</v>
      </c>
      <c r="C25" s="38">
        <v>425</v>
      </c>
      <c r="D25" s="39">
        <f t="shared" si="0"/>
        <v>152</v>
      </c>
    </row>
    <row r="26" s="26" customFormat="1" ht="15.75" spans="1:4">
      <c r="A26" s="36" t="s">
        <v>197</v>
      </c>
      <c r="B26" s="37">
        <v>136</v>
      </c>
      <c r="C26" s="38">
        <v>392</v>
      </c>
      <c r="D26" s="39">
        <f t="shared" si="0"/>
        <v>-256</v>
      </c>
    </row>
    <row r="27" s="25" customFormat="1" ht="15.75" spans="1:4">
      <c r="A27" s="33" t="s">
        <v>652</v>
      </c>
      <c r="B27" s="34">
        <f>SUM(B28:B38)</f>
        <v>2245</v>
      </c>
      <c r="C27" s="34">
        <f>SUM(C28:C38)</f>
        <v>2296</v>
      </c>
      <c r="D27" s="35">
        <f>SUM(D28:D38)</f>
        <v>-51</v>
      </c>
    </row>
    <row r="28" s="26" customFormat="1" ht="15.75" spans="1:4">
      <c r="A28" s="40" t="s">
        <v>45</v>
      </c>
      <c r="B28" s="37">
        <v>242</v>
      </c>
      <c r="C28" s="41"/>
      <c r="D28" s="39">
        <f t="shared" si="0"/>
        <v>242</v>
      </c>
    </row>
    <row r="29" s="26" customFormat="1" ht="15.75" spans="1:4">
      <c r="A29" s="36" t="s">
        <v>228</v>
      </c>
      <c r="B29" s="37">
        <v>637</v>
      </c>
      <c r="C29" s="38">
        <f>930-250</f>
        <v>680</v>
      </c>
      <c r="D29" s="39">
        <f t="shared" si="0"/>
        <v>-43</v>
      </c>
    </row>
    <row r="30" s="26" customFormat="1" ht="15.75" spans="1:4">
      <c r="A30" s="36" t="s">
        <v>239</v>
      </c>
      <c r="B30" s="37">
        <v>134</v>
      </c>
      <c r="C30" s="38">
        <v>310</v>
      </c>
      <c r="D30" s="39">
        <f t="shared" si="0"/>
        <v>-176</v>
      </c>
    </row>
    <row r="31" s="26" customFormat="1" ht="15.75" spans="1:4">
      <c r="A31" s="36" t="s">
        <v>243</v>
      </c>
      <c r="B31" s="37">
        <v>303</v>
      </c>
      <c r="C31" s="38">
        <v>180</v>
      </c>
      <c r="D31" s="39">
        <f t="shared" si="0"/>
        <v>123</v>
      </c>
    </row>
    <row r="32" s="26" customFormat="1" ht="15.75" spans="1:4">
      <c r="A32" s="36" t="s">
        <v>247</v>
      </c>
      <c r="B32" s="37">
        <v>441</v>
      </c>
      <c r="C32" s="38">
        <v>324</v>
      </c>
      <c r="D32" s="39">
        <f t="shared" si="0"/>
        <v>117</v>
      </c>
    </row>
    <row r="33" s="26" customFormat="1" ht="15.75" spans="1:4">
      <c r="A33" s="36" t="s">
        <v>254</v>
      </c>
      <c r="B33" s="37">
        <v>285</v>
      </c>
      <c r="C33" s="38">
        <v>325</v>
      </c>
      <c r="D33" s="39">
        <f t="shared" si="0"/>
        <v>-40</v>
      </c>
    </row>
    <row r="34" s="26" customFormat="1" ht="15.75" spans="1:4">
      <c r="A34" s="36" t="s">
        <v>653</v>
      </c>
      <c r="B34" s="37"/>
      <c r="C34" s="38">
        <v>54</v>
      </c>
      <c r="D34" s="39">
        <f t="shared" si="0"/>
        <v>-54</v>
      </c>
    </row>
    <row r="35" s="26" customFormat="1" ht="15.75" spans="1:4">
      <c r="A35" s="36" t="s">
        <v>262</v>
      </c>
      <c r="B35" s="37">
        <v>140</v>
      </c>
      <c r="C35" s="38">
        <v>124</v>
      </c>
      <c r="D35" s="39">
        <f t="shared" si="0"/>
        <v>16</v>
      </c>
    </row>
    <row r="36" s="26" customFormat="1" ht="15.75" spans="1:4">
      <c r="A36" s="36" t="s">
        <v>268</v>
      </c>
      <c r="B36" s="37">
        <v>63</v>
      </c>
      <c r="C36" s="38">
        <v>142</v>
      </c>
      <c r="D36" s="39">
        <f t="shared" si="0"/>
        <v>-79</v>
      </c>
    </row>
    <row r="37" s="26" customFormat="1" ht="15.75" spans="1:4">
      <c r="A37" s="36" t="s">
        <v>654</v>
      </c>
      <c r="B37" s="37"/>
      <c r="C37" s="38">
        <v>45</v>
      </c>
      <c r="D37" s="39">
        <f t="shared" si="0"/>
        <v>-45</v>
      </c>
    </row>
    <row r="38" s="26" customFormat="1" ht="15.75" spans="1:4">
      <c r="A38" s="36" t="s">
        <v>655</v>
      </c>
      <c r="B38" s="37"/>
      <c r="C38" s="38">
        <v>112</v>
      </c>
      <c r="D38" s="39">
        <f t="shared" si="0"/>
        <v>-112</v>
      </c>
    </row>
    <row r="39" s="25" customFormat="1" ht="15.75" spans="1:4">
      <c r="A39" s="33" t="s">
        <v>656</v>
      </c>
      <c r="B39" s="34">
        <f>SUM(B40:B51)</f>
        <v>4174</v>
      </c>
      <c r="C39" s="34">
        <f>SUM(C40:C51)</f>
        <v>8711</v>
      </c>
      <c r="D39" s="35">
        <f>SUM(D40:D51)</f>
        <v>-4537</v>
      </c>
    </row>
    <row r="40" s="26" customFormat="1" ht="15.75" spans="1:4">
      <c r="A40" s="40" t="s">
        <v>45</v>
      </c>
      <c r="B40" s="37">
        <v>229</v>
      </c>
      <c r="C40" s="41"/>
      <c r="D40" s="39">
        <f t="shared" ref="D39:D70" si="1">B40-C40</f>
        <v>229</v>
      </c>
    </row>
    <row r="41" s="26" customFormat="1" ht="15.75" spans="1:4">
      <c r="A41" s="36" t="s">
        <v>281</v>
      </c>
      <c r="B41" s="37">
        <v>256</v>
      </c>
      <c r="C41" s="38">
        <v>355</v>
      </c>
      <c r="D41" s="39">
        <f t="shared" si="1"/>
        <v>-99</v>
      </c>
    </row>
    <row r="42" s="26" customFormat="1" ht="15.75" spans="1:4">
      <c r="A42" s="36" t="s">
        <v>287</v>
      </c>
      <c r="B42" s="37">
        <v>658</v>
      </c>
      <c r="C42" s="38">
        <v>420</v>
      </c>
      <c r="D42" s="39">
        <f t="shared" si="1"/>
        <v>238</v>
      </c>
    </row>
    <row r="43" s="26" customFormat="1" ht="15.75" spans="1:4">
      <c r="A43" s="36" t="s">
        <v>298</v>
      </c>
      <c r="B43" s="37">
        <v>400</v>
      </c>
      <c r="C43" s="38">
        <v>400</v>
      </c>
      <c r="D43" s="39">
        <f t="shared" si="1"/>
        <v>0</v>
      </c>
    </row>
    <row r="44" s="26" customFormat="1" ht="15.75" spans="1:4">
      <c r="A44" s="36" t="s">
        <v>307</v>
      </c>
      <c r="B44" s="37">
        <v>140</v>
      </c>
      <c r="C44" s="38">
        <v>270</v>
      </c>
      <c r="D44" s="39">
        <f t="shared" si="1"/>
        <v>-130</v>
      </c>
    </row>
    <row r="45" s="26" customFormat="1" ht="15.75" spans="1:4">
      <c r="A45" s="36" t="s">
        <v>315</v>
      </c>
      <c r="B45" s="37">
        <v>280</v>
      </c>
      <c r="C45" s="38">
        <f>1300-250</f>
        <v>1050</v>
      </c>
      <c r="D45" s="39">
        <f t="shared" si="1"/>
        <v>-770</v>
      </c>
    </row>
    <row r="46" s="26" customFormat="1" ht="15.75" spans="1:4">
      <c r="A46" s="36" t="s">
        <v>321</v>
      </c>
      <c r="B46" s="37">
        <v>180</v>
      </c>
      <c r="C46" s="38">
        <v>300</v>
      </c>
      <c r="D46" s="39">
        <f t="shared" si="1"/>
        <v>-120</v>
      </c>
    </row>
    <row r="47" s="26" customFormat="1" ht="15.75" spans="1:4">
      <c r="A47" s="36" t="s">
        <v>328</v>
      </c>
      <c r="B47" s="37">
        <v>120</v>
      </c>
      <c r="C47" s="38">
        <v>972</v>
      </c>
      <c r="D47" s="39">
        <f t="shared" si="1"/>
        <v>-852</v>
      </c>
    </row>
    <row r="48" s="26" customFormat="1" ht="15.75" spans="1:4">
      <c r="A48" s="36" t="s">
        <v>335</v>
      </c>
      <c r="B48" s="37">
        <v>200</v>
      </c>
      <c r="C48" s="38">
        <v>1282</v>
      </c>
      <c r="D48" s="39">
        <f t="shared" si="1"/>
        <v>-1082</v>
      </c>
    </row>
    <row r="49" s="26" customFormat="1" ht="15.75" spans="1:4">
      <c r="A49" s="36" t="s">
        <v>339</v>
      </c>
      <c r="B49" s="37">
        <v>391</v>
      </c>
      <c r="C49" s="38">
        <f>1664-200</f>
        <v>1464</v>
      </c>
      <c r="D49" s="39">
        <f t="shared" si="1"/>
        <v>-1073</v>
      </c>
    </row>
    <row r="50" s="26" customFormat="1" ht="15.75" spans="1:4">
      <c r="A50" s="36" t="s">
        <v>346</v>
      </c>
      <c r="B50" s="37">
        <v>828</v>
      </c>
      <c r="C50" s="38">
        <f>2208-250</f>
        <v>1958</v>
      </c>
      <c r="D50" s="39">
        <f t="shared" si="1"/>
        <v>-1130</v>
      </c>
    </row>
    <row r="51" s="26" customFormat="1" ht="15.75" spans="1:4">
      <c r="A51" s="36" t="s">
        <v>357</v>
      </c>
      <c r="B51" s="37">
        <v>492</v>
      </c>
      <c r="C51" s="38">
        <v>240</v>
      </c>
      <c r="D51" s="39">
        <f t="shared" si="1"/>
        <v>252</v>
      </c>
    </row>
    <row r="52" s="25" customFormat="1" ht="15.75" spans="1:4">
      <c r="A52" s="33" t="s">
        <v>657</v>
      </c>
      <c r="B52" s="34">
        <f>SUM(B53:B66)</f>
        <v>4192</v>
      </c>
      <c r="C52" s="34">
        <f>SUM(C53:C66)</f>
        <v>3073</v>
      </c>
      <c r="D52" s="34">
        <f>SUM(D53:D66)</f>
        <v>1119</v>
      </c>
    </row>
    <row r="53" s="26" customFormat="1" ht="15.75" spans="1:4">
      <c r="A53" s="36" t="s">
        <v>364</v>
      </c>
      <c r="B53" s="37">
        <v>144</v>
      </c>
      <c r="C53" s="38">
        <v>120</v>
      </c>
      <c r="D53" s="39">
        <f t="shared" si="1"/>
        <v>24</v>
      </c>
    </row>
    <row r="54" s="26" customFormat="1" ht="15.75" spans="1:4">
      <c r="A54" s="36" t="s">
        <v>415</v>
      </c>
      <c r="B54" s="37">
        <v>260</v>
      </c>
      <c r="C54" s="38">
        <f>467-100</f>
        <v>367</v>
      </c>
      <c r="D54" s="39">
        <f t="shared" si="1"/>
        <v>-107</v>
      </c>
    </row>
    <row r="55" s="26" customFormat="1" ht="15.75" spans="1:4">
      <c r="A55" s="36" t="s">
        <v>368</v>
      </c>
      <c r="B55" s="37">
        <v>119</v>
      </c>
      <c r="C55" s="38">
        <v>200</v>
      </c>
      <c r="D55" s="39">
        <f t="shared" si="1"/>
        <v>-81</v>
      </c>
    </row>
    <row r="56" s="26" customFormat="1" ht="15.75" spans="1:4">
      <c r="A56" s="36" t="s">
        <v>658</v>
      </c>
      <c r="B56" s="37"/>
      <c r="C56" s="38">
        <v>316</v>
      </c>
      <c r="D56" s="39">
        <f t="shared" si="1"/>
        <v>-316</v>
      </c>
    </row>
    <row r="57" s="26" customFormat="1" ht="15.75" spans="1:4">
      <c r="A57" s="36" t="s">
        <v>426</v>
      </c>
      <c r="B57" s="37">
        <v>255</v>
      </c>
      <c r="C57" s="38">
        <v>298</v>
      </c>
      <c r="D57" s="39">
        <f t="shared" si="1"/>
        <v>-43</v>
      </c>
    </row>
    <row r="58" s="26" customFormat="1" ht="15.75" spans="1:4">
      <c r="A58" s="36" t="s">
        <v>373</v>
      </c>
      <c r="B58" s="37">
        <v>220</v>
      </c>
      <c r="C58" s="38">
        <v>97</v>
      </c>
      <c r="D58" s="39">
        <f t="shared" si="1"/>
        <v>123</v>
      </c>
    </row>
    <row r="59" s="26" customFormat="1" ht="15.75" spans="1:4">
      <c r="A59" s="36" t="s">
        <v>378</v>
      </c>
      <c r="B59" s="37">
        <v>545</v>
      </c>
      <c r="C59" s="38">
        <v>370</v>
      </c>
      <c r="D59" s="39">
        <f t="shared" si="1"/>
        <v>175</v>
      </c>
    </row>
    <row r="60" s="26" customFormat="1" ht="15.75" spans="1:4">
      <c r="A60" s="36" t="s">
        <v>386</v>
      </c>
      <c r="B60" s="37">
        <v>110</v>
      </c>
      <c r="C60" s="38">
        <v>110</v>
      </c>
      <c r="D60" s="39">
        <f t="shared" si="1"/>
        <v>0</v>
      </c>
    </row>
    <row r="61" s="26" customFormat="1" ht="15.75" spans="1:4">
      <c r="A61" s="36" t="s">
        <v>389</v>
      </c>
      <c r="B61" s="37">
        <v>215</v>
      </c>
      <c r="C61" s="38">
        <v>190</v>
      </c>
      <c r="D61" s="39">
        <f t="shared" si="1"/>
        <v>25</v>
      </c>
    </row>
    <row r="62" s="26" customFormat="1" ht="15.75" spans="1:4">
      <c r="A62" s="36" t="s">
        <v>396</v>
      </c>
      <c r="B62" s="37">
        <v>216</v>
      </c>
      <c r="C62" s="38">
        <v>142</v>
      </c>
      <c r="D62" s="39">
        <f t="shared" si="1"/>
        <v>74</v>
      </c>
    </row>
    <row r="63" s="26" customFormat="1" ht="15.75" spans="1:4">
      <c r="A63" s="36" t="s">
        <v>401</v>
      </c>
      <c r="B63" s="37">
        <v>1037</v>
      </c>
      <c r="C63" s="38"/>
      <c r="D63" s="39">
        <f t="shared" si="1"/>
        <v>1037</v>
      </c>
    </row>
    <row r="64" s="26" customFormat="1" ht="15.75" spans="1:4">
      <c r="A64" s="36" t="s">
        <v>410</v>
      </c>
      <c r="B64" s="37">
        <v>150</v>
      </c>
      <c r="C64" s="38">
        <v>118</v>
      </c>
      <c r="D64" s="39">
        <f t="shared" si="1"/>
        <v>32</v>
      </c>
    </row>
    <row r="65" s="26" customFormat="1" ht="15.75" spans="1:4">
      <c r="A65" s="36" t="s">
        <v>431</v>
      </c>
      <c r="B65" s="37">
        <v>353</v>
      </c>
      <c r="C65" s="38">
        <v>412</v>
      </c>
      <c r="D65" s="39">
        <f t="shared" si="1"/>
        <v>-59</v>
      </c>
    </row>
    <row r="66" s="26" customFormat="1" ht="15.75" spans="1:4">
      <c r="A66" s="36" t="s">
        <v>422</v>
      </c>
      <c r="B66" s="37">
        <v>568</v>
      </c>
      <c r="C66" s="38">
        <v>333</v>
      </c>
      <c r="D66" s="39">
        <f t="shared" si="1"/>
        <v>235</v>
      </c>
    </row>
    <row r="67" s="25" customFormat="1" ht="15.75" spans="1:4">
      <c r="A67" s="33" t="s">
        <v>659</v>
      </c>
      <c r="B67" s="34">
        <f>SUM(B68:B78)</f>
        <v>6035</v>
      </c>
      <c r="C67" s="34">
        <f>SUM(C68:C78)</f>
        <v>4926</v>
      </c>
      <c r="D67" s="34">
        <f>SUM(D68:D78)</f>
        <v>1109</v>
      </c>
    </row>
    <row r="68" s="26" customFormat="1" ht="15.75" spans="1:4">
      <c r="A68" s="36" t="s">
        <v>45</v>
      </c>
      <c r="B68" s="37">
        <v>1438</v>
      </c>
      <c r="C68" s="38">
        <f>1455-250</f>
        <v>1205</v>
      </c>
      <c r="D68" s="39">
        <f t="shared" si="1"/>
        <v>233</v>
      </c>
    </row>
    <row r="69" s="26" customFormat="1" ht="15.75" spans="1:4">
      <c r="A69" s="36" t="s">
        <v>441</v>
      </c>
      <c r="B69" s="37">
        <v>268</v>
      </c>
      <c r="C69" s="38">
        <v>200</v>
      </c>
      <c r="D69" s="39">
        <f t="shared" si="1"/>
        <v>68</v>
      </c>
    </row>
    <row r="70" s="26" customFormat="1" ht="15.75" spans="1:4">
      <c r="A70" s="36" t="s">
        <v>467</v>
      </c>
      <c r="B70" s="37">
        <v>226</v>
      </c>
      <c r="C70" s="38">
        <v>167</v>
      </c>
      <c r="D70" s="39">
        <f t="shared" si="1"/>
        <v>59</v>
      </c>
    </row>
    <row r="71" s="26" customFormat="1" ht="15.75" spans="1:4">
      <c r="A71" s="36" t="s">
        <v>471</v>
      </c>
      <c r="B71" s="37">
        <v>1120</v>
      </c>
      <c r="C71" s="38">
        <v>1104</v>
      </c>
      <c r="D71" s="39">
        <f t="shared" ref="D71:D96" si="2">B71-C71</f>
        <v>16</v>
      </c>
    </row>
    <row r="72" s="26" customFormat="1" ht="15.75" spans="1:4">
      <c r="A72" s="36" t="s">
        <v>481</v>
      </c>
      <c r="B72" s="37">
        <v>161</v>
      </c>
      <c r="C72" s="38">
        <v>120</v>
      </c>
      <c r="D72" s="39">
        <f t="shared" si="2"/>
        <v>41</v>
      </c>
    </row>
    <row r="73" s="26" customFormat="1" ht="15.75" spans="1:4">
      <c r="A73" s="36" t="s">
        <v>484</v>
      </c>
      <c r="B73" s="37">
        <v>417</v>
      </c>
      <c r="C73" s="38">
        <v>392</v>
      </c>
      <c r="D73" s="39">
        <f t="shared" si="2"/>
        <v>25</v>
      </c>
    </row>
    <row r="74" s="26" customFormat="1" ht="15.75" spans="1:4">
      <c r="A74" s="36" t="s">
        <v>488</v>
      </c>
      <c r="B74" s="37">
        <v>120</v>
      </c>
      <c r="C74" s="38">
        <v>60</v>
      </c>
      <c r="D74" s="39">
        <f t="shared" si="2"/>
        <v>60</v>
      </c>
    </row>
    <row r="75" s="26" customFormat="1" ht="15.75" spans="1:4">
      <c r="A75" s="36" t="s">
        <v>493</v>
      </c>
      <c r="B75" s="37">
        <v>298</v>
      </c>
      <c r="C75" s="38">
        <v>90</v>
      </c>
      <c r="D75" s="39">
        <f t="shared" si="2"/>
        <v>208</v>
      </c>
    </row>
    <row r="76" s="26" customFormat="1" ht="15.75" spans="1:4">
      <c r="A76" s="36" t="s">
        <v>501</v>
      </c>
      <c r="B76" s="37">
        <v>311</v>
      </c>
      <c r="C76" s="38">
        <v>280</v>
      </c>
      <c r="D76" s="39">
        <f t="shared" si="2"/>
        <v>31</v>
      </c>
    </row>
    <row r="77" s="26" customFormat="1" ht="15.75" spans="1:4">
      <c r="A77" s="36" t="s">
        <v>509</v>
      </c>
      <c r="B77" s="37">
        <v>393</v>
      </c>
      <c r="C77" s="38">
        <v>250</v>
      </c>
      <c r="D77" s="39">
        <f t="shared" si="2"/>
        <v>143</v>
      </c>
    </row>
    <row r="78" s="26" customFormat="1" ht="15.75" spans="1:4">
      <c r="A78" s="36" t="s">
        <v>445</v>
      </c>
      <c r="B78" s="37">
        <v>1283</v>
      </c>
      <c r="C78" s="38">
        <v>1058</v>
      </c>
      <c r="D78" s="39">
        <f t="shared" si="2"/>
        <v>225</v>
      </c>
    </row>
    <row r="79" s="25" customFormat="1" ht="15.75" spans="1:4">
      <c r="A79" s="33" t="s">
        <v>660</v>
      </c>
      <c r="B79" s="34">
        <f>SUM(B80:B86)</f>
        <v>3162</v>
      </c>
      <c r="C79" s="34">
        <f>SUM(C80:C86)</f>
        <v>4047</v>
      </c>
      <c r="D79" s="35">
        <f>SUM(D80:D86)</f>
        <v>-885</v>
      </c>
    </row>
    <row r="80" s="26" customFormat="1" ht="15.75" spans="1:4">
      <c r="A80" s="36" t="s">
        <v>515</v>
      </c>
      <c r="B80" s="37">
        <v>300</v>
      </c>
      <c r="C80" s="38">
        <v>300</v>
      </c>
      <c r="D80" s="39">
        <f t="shared" si="2"/>
        <v>0</v>
      </c>
    </row>
    <row r="81" s="26" customFormat="1" ht="15.75" spans="1:4">
      <c r="A81" s="36" t="s">
        <v>532</v>
      </c>
      <c r="B81" s="37">
        <v>342</v>
      </c>
      <c r="C81" s="38">
        <v>780</v>
      </c>
      <c r="D81" s="39">
        <f t="shared" si="2"/>
        <v>-438</v>
      </c>
    </row>
    <row r="82" s="26" customFormat="1" ht="15.75" spans="1:4">
      <c r="A82" s="36" t="s">
        <v>521</v>
      </c>
      <c r="B82" s="37">
        <v>1025</v>
      </c>
      <c r="C82" s="38">
        <v>656</v>
      </c>
      <c r="D82" s="39">
        <f t="shared" si="2"/>
        <v>369</v>
      </c>
    </row>
    <row r="83" s="26" customFormat="1" ht="15.75" spans="1:4">
      <c r="A83" s="36" t="s">
        <v>539</v>
      </c>
      <c r="B83" s="37">
        <v>390</v>
      </c>
      <c r="C83" s="38">
        <v>284</v>
      </c>
      <c r="D83" s="39">
        <f t="shared" si="2"/>
        <v>106</v>
      </c>
    </row>
    <row r="84" s="26" customFormat="1" ht="15.75" spans="1:4">
      <c r="A84" s="36" t="s">
        <v>544</v>
      </c>
      <c r="B84" s="37">
        <v>514</v>
      </c>
      <c r="C84" s="38">
        <v>704</v>
      </c>
      <c r="D84" s="39">
        <f t="shared" si="2"/>
        <v>-190</v>
      </c>
    </row>
    <row r="85" s="26" customFormat="1" ht="15.75" spans="1:4">
      <c r="A85" s="36" t="s">
        <v>553</v>
      </c>
      <c r="B85" s="37">
        <v>136</v>
      </c>
      <c r="C85" s="38">
        <f>847-100</f>
        <v>747</v>
      </c>
      <c r="D85" s="39">
        <f t="shared" si="2"/>
        <v>-611</v>
      </c>
    </row>
    <row r="86" s="26" customFormat="1" ht="15.75" spans="1:4">
      <c r="A86" s="36" t="s">
        <v>559</v>
      </c>
      <c r="B86" s="37">
        <v>455</v>
      </c>
      <c r="C86" s="38">
        <v>576</v>
      </c>
      <c r="D86" s="39">
        <f t="shared" si="2"/>
        <v>-121</v>
      </c>
    </row>
    <row r="87" s="25" customFormat="1" ht="15.75" spans="1:4">
      <c r="A87" s="33" t="s">
        <v>661</v>
      </c>
      <c r="B87" s="34">
        <f>SUM(B88:B95)</f>
        <v>3855</v>
      </c>
      <c r="C87" s="34">
        <f>SUM(C88:C95)</f>
        <v>2553</v>
      </c>
      <c r="D87" s="34">
        <f>SUM(D88:D95)</f>
        <v>1302</v>
      </c>
    </row>
    <row r="88" s="26" customFormat="1" ht="15.75" spans="1:4">
      <c r="A88" s="36" t="s">
        <v>572</v>
      </c>
      <c r="B88" s="37">
        <v>798</v>
      </c>
      <c r="C88" s="38">
        <v>593</v>
      </c>
      <c r="D88" s="39">
        <f t="shared" si="2"/>
        <v>205</v>
      </c>
    </row>
    <row r="89" s="26" customFormat="1" ht="15.75" spans="1:4">
      <c r="A89" s="36" t="s">
        <v>586</v>
      </c>
      <c r="B89" s="37">
        <v>623</v>
      </c>
      <c r="C89" s="38">
        <v>512</v>
      </c>
      <c r="D89" s="39">
        <f t="shared" si="2"/>
        <v>111</v>
      </c>
    </row>
    <row r="90" s="26" customFormat="1" ht="15.75" spans="1:4">
      <c r="A90" s="36" t="s">
        <v>598</v>
      </c>
      <c r="B90" s="37">
        <v>387</v>
      </c>
      <c r="C90" s="38">
        <v>464</v>
      </c>
      <c r="D90" s="39">
        <f t="shared" si="2"/>
        <v>-77</v>
      </c>
    </row>
    <row r="91" s="26" customFormat="1" ht="15.75" spans="1:4">
      <c r="A91" s="36" t="s">
        <v>603</v>
      </c>
      <c r="B91" s="37">
        <v>120</v>
      </c>
      <c r="C91" s="38"/>
      <c r="D91" s="39">
        <f t="shared" si="2"/>
        <v>120</v>
      </c>
    </row>
    <row r="92" s="26" customFormat="1" ht="15.75" spans="1:4">
      <c r="A92" s="36" t="s">
        <v>606</v>
      </c>
      <c r="B92" s="37">
        <v>348</v>
      </c>
      <c r="C92" s="38">
        <v>60</v>
      </c>
      <c r="D92" s="39">
        <f t="shared" si="2"/>
        <v>288</v>
      </c>
    </row>
    <row r="93" s="26" customFormat="1" ht="15.75" spans="1:4">
      <c r="A93" s="36" t="s">
        <v>612</v>
      </c>
      <c r="B93" s="37">
        <v>205</v>
      </c>
      <c r="C93" s="38">
        <v>75</v>
      </c>
      <c r="D93" s="39">
        <f t="shared" si="2"/>
        <v>130</v>
      </c>
    </row>
    <row r="94" s="26" customFormat="1" ht="15.75" spans="1:4">
      <c r="A94" s="36" t="s">
        <v>618</v>
      </c>
      <c r="B94" s="37">
        <v>1016</v>
      </c>
      <c r="C94" s="38">
        <f>666-150</f>
        <v>516</v>
      </c>
      <c r="D94" s="39">
        <f t="shared" si="2"/>
        <v>500</v>
      </c>
    </row>
    <row r="95" s="26" customFormat="1" ht="15.75" spans="1:4">
      <c r="A95" s="36" t="s">
        <v>630</v>
      </c>
      <c r="B95" s="37">
        <v>358</v>
      </c>
      <c r="C95" s="38">
        <v>333</v>
      </c>
      <c r="D95" s="39">
        <f t="shared" si="2"/>
        <v>25</v>
      </c>
    </row>
    <row r="96" s="25" customFormat="1" ht="15.75" spans="1:4">
      <c r="A96" s="33" t="s">
        <v>634</v>
      </c>
      <c r="B96" s="34">
        <v>502</v>
      </c>
      <c r="C96" s="41">
        <v>474</v>
      </c>
      <c r="D96" s="42">
        <f t="shared" si="2"/>
        <v>28</v>
      </c>
    </row>
  </sheetData>
  <mergeCells count="1">
    <mergeCell ref="A2:D2"/>
  </mergeCells>
  <pageMargins left="0.751388888888889" right="0.751388888888889" top="0.472222222222222" bottom="0.747916666666667" header="0.236111111111111" footer="0.196527777777778"/>
  <pageSetup paperSize="9" orientation="portrait" horizontalDpi="600"/>
  <headerFooter differentOddEven="1">
    <oddFooter>&amp;R&amp;14- &amp;P -</oddFooter>
    <evenFooter>&amp;L&amp;14- &amp;P -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2"/>
  <sheetViews>
    <sheetView zoomScale="70" zoomScaleNormal="70" workbookViewId="0">
      <selection activeCell="R19" sqref="R19"/>
    </sheetView>
  </sheetViews>
  <sheetFormatPr defaultColWidth="9" defaultRowHeight="14.25"/>
  <cols>
    <col min="1" max="1" width="5.175" style="2" customWidth="1"/>
    <col min="2" max="2" width="9.51666666666667" style="2" customWidth="1"/>
    <col min="3" max="3" width="13.25" style="2" customWidth="1"/>
    <col min="4" max="4" width="19.2833333333333" style="2" customWidth="1"/>
    <col min="5" max="5" width="16.7833333333333" style="2" customWidth="1"/>
    <col min="6" max="13" width="6.96666666666667" style="2" customWidth="1"/>
    <col min="14" max="14" width="10.35" style="2" customWidth="1"/>
    <col min="15" max="16384" width="9" style="2"/>
  </cols>
  <sheetData>
    <row r="1" s="1" customFormat="1" ht="24" customHeight="1" spans="1:4">
      <c r="A1" s="3" t="s">
        <v>662</v>
      </c>
      <c r="B1" s="3"/>
      <c r="C1" s="4"/>
      <c r="D1" s="4"/>
    </row>
    <row r="2" s="1" customFormat="1" ht="44.25" customHeight="1" spans="1:14">
      <c r="A2" s="5" t="s">
        <v>663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1" customFormat="1" ht="36.75" customHeight="1" spans="1:14">
      <c r="A3" s="7" t="s">
        <v>664</v>
      </c>
      <c r="B3" s="7"/>
      <c r="C3" s="7"/>
      <c r="D3" s="7" t="s">
        <v>665</v>
      </c>
      <c r="E3" s="7"/>
      <c r="F3" s="7"/>
      <c r="G3" s="7"/>
      <c r="H3" s="7"/>
      <c r="I3" s="7"/>
      <c r="J3" s="7"/>
      <c r="K3" s="7"/>
      <c r="L3" s="7"/>
      <c r="M3" s="7"/>
      <c r="N3" s="7"/>
    </row>
    <row r="4" s="1" customFormat="1" ht="38.25" customHeight="1" spans="1:14">
      <c r="A4" s="7" t="s">
        <v>666</v>
      </c>
      <c r="B4" s="7"/>
      <c r="C4" s="7"/>
      <c r="D4" s="7" t="s">
        <v>667</v>
      </c>
      <c r="E4" s="7"/>
      <c r="F4" s="7" t="s">
        <v>668</v>
      </c>
      <c r="G4" s="7" t="s">
        <v>669</v>
      </c>
      <c r="H4" s="7"/>
      <c r="I4" s="7"/>
      <c r="J4" s="7"/>
      <c r="K4" s="7"/>
      <c r="L4" s="7"/>
      <c r="M4" s="7"/>
      <c r="N4" s="9"/>
    </row>
    <row r="5" s="1" customFormat="1" ht="26" customHeight="1" spans="1:14">
      <c r="A5" s="7" t="s">
        <v>670</v>
      </c>
      <c r="B5" s="8"/>
      <c r="C5" s="8"/>
      <c r="D5" s="7" t="s">
        <v>671</v>
      </c>
      <c r="E5" s="7" t="s">
        <v>672</v>
      </c>
      <c r="F5" s="7"/>
      <c r="G5" s="7"/>
      <c r="H5" s="7"/>
      <c r="I5" s="7"/>
      <c r="J5" s="7"/>
      <c r="K5" s="7"/>
      <c r="L5" s="7"/>
      <c r="M5" s="7"/>
      <c r="N5" s="7"/>
    </row>
    <row r="6" s="1" customFormat="1" ht="26" customHeight="1" spans="1:14">
      <c r="A6" s="8"/>
      <c r="B6" s="8"/>
      <c r="C6" s="8"/>
      <c r="D6" s="9" t="s">
        <v>673</v>
      </c>
      <c r="E6" s="7" t="s">
        <v>672</v>
      </c>
      <c r="F6" s="7"/>
      <c r="G6" s="7"/>
      <c r="H6" s="7"/>
      <c r="I6" s="7"/>
      <c r="J6" s="7"/>
      <c r="K6" s="7"/>
      <c r="L6" s="7"/>
      <c r="M6" s="7"/>
      <c r="N6" s="7"/>
    </row>
    <row r="7" s="1" customFormat="1" ht="26" customHeight="1" spans="1:14">
      <c r="A7" s="8"/>
      <c r="B7" s="8"/>
      <c r="C7" s="8"/>
      <c r="D7" s="9" t="s">
        <v>674</v>
      </c>
      <c r="E7" s="7"/>
      <c r="F7" s="7"/>
      <c r="G7" s="7"/>
      <c r="H7" s="7"/>
      <c r="I7" s="7"/>
      <c r="J7" s="7"/>
      <c r="K7" s="7"/>
      <c r="L7" s="7"/>
      <c r="M7" s="7"/>
      <c r="N7" s="7"/>
    </row>
    <row r="8" s="1" customFormat="1" ht="56" customHeight="1" spans="1:14">
      <c r="A8" s="7" t="s">
        <v>675</v>
      </c>
      <c r="B8" s="10" t="s">
        <v>676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="1" customFormat="1" ht="30.75" customHeight="1" spans="1:14">
      <c r="A9" s="7" t="s">
        <v>677</v>
      </c>
      <c r="B9" s="7" t="s">
        <v>678</v>
      </c>
      <c r="C9" s="7" t="s">
        <v>679</v>
      </c>
      <c r="D9" s="7" t="s">
        <v>680</v>
      </c>
      <c r="E9" s="7" t="s">
        <v>681</v>
      </c>
      <c r="F9" s="15" t="s">
        <v>682</v>
      </c>
      <c r="G9" s="15"/>
      <c r="H9" s="15"/>
      <c r="I9" s="15"/>
      <c r="J9" s="15"/>
      <c r="K9" s="15"/>
      <c r="L9" s="15"/>
      <c r="M9" s="15"/>
      <c r="N9" s="15"/>
    </row>
    <row r="10" s="1" customFormat="1" ht="59" customHeight="1" spans="1:14">
      <c r="A10" s="7"/>
      <c r="B10" s="7"/>
      <c r="C10" s="7"/>
      <c r="D10" s="7"/>
      <c r="E10" s="7"/>
      <c r="F10" s="15" t="s">
        <v>647</v>
      </c>
      <c r="G10" s="15" t="s">
        <v>650</v>
      </c>
      <c r="H10" s="15" t="s">
        <v>652</v>
      </c>
      <c r="I10" s="15" t="s">
        <v>656</v>
      </c>
      <c r="J10" s="15" t="s">
        <v>657</v>
      </c>
      <c r="K10" s="15" t="s">
        <v>659</v>
      </c>
      <c r="L10" s="15" t="s">
        <v>660</v>
      </c>
      <c r="M10" s="15" t="s">
        <v>661</v>
      </c>
      <c r="N10" s="22" t="s">
        <v>634</v>
      </c>
    </row>
    <row r="11" s="1" customFormat="1" ht="48" customHeight="1" spans="1:14">
      <c r="A11" s="7"/>
      <c r="B11" s="7" t="s">
        <v>683</v>
      </c>
      <c r="C11" s="7" t="s">
        <v>684</v>
      </c>
      <c r="D11" s="7" t="s">
        <v>685</v>
      </c>
      <c r="E11" s="7" t="s">
        <v>685</v>
      </c>
      <c r="F11" s="16" t="s">
        <v>686</v>
      </c>
      <c r="G11" s="17"/>
      <c r="H11" s="17"/>
      <c r="I11" s="17"/>
      <c r="J11" s="17"/>
      <c r="K11" s="17"/>
      <c r="L11" s="17"/>
      <c r="M11" s="17"/>
      <c r="N11" s="23"/>
    </row>
    <row r="12" s="1" customFormat="1" ht="48" customHeight="1" spans="1:14">
      <c r="A12" s="7"/>
      <c r="B12" s="11" t="s">
        <v>687</v>
      </c>
      <c r="C12" s="11" t="s">
        <v>688</v>
      </c>
      <c r="D12" s="7" t="s">
        <v>689</v>
      </c>
      <c r="E12" s="7" t="s">
        <v>689</v>
      </c>
      <c r="F12" s="18" t="s">
        <v>690</v>
      </c>
      <c r="G12" s="19"/>
      <c r="H12" s="19"/>
      <c r="I12" s="19"/>
      <c r="J12" s="19"/>
      <c r="K12" s="19"/>
      <c r="L12" s="19"/>
      <c r="M12" s="19"/>
      <c r="N12" s="24"/>
    </row>
    <row r="13" s="1" customFormat="1" ht="48" customHeight="1" spans="1:14">
      <c r="A13" s="7"/>
      <c r="B13" s="12"/>
      <c r="C13" s="12"/>
      <c r="D13" s="7" t="s">
        <v>691</v>
      </c>
      <c r="E13" s="7" t="s">
        <v>691</v>
      </c>
      <c r="F13" s="18" t="s">
        <v>692</v>
      </c>
      <c r="G13" s="19"/>
      <c r="H13" s="19"/>
      <c r="I13" s="19"/>
      <c r="J13" s="19"/>
      <c r="K13" s="19"/>
      <c r="L13" s="19"/>
      <c r="M13" s="19"/>
      <c r="N13" s="24"/>
    </row>
    <row r="14" s="1" customFormat="1" ht="49" customHeight="1" spans="1:14">
      <c r="A14" s="7"/>
      <c r="B14" s="12"/>
      <c r="C14" s="12"/>
      <c r="D14" s="7" t="s">
        <v>693</v>
      </c>
      <c r="E14" s="7" t="s">
        <v>693</v>
      </c>
      <c r="F14" s="20">
        <v>29</v>
      </c>
      <c r="G14" s="20">
        <v>14</v>
      </c>
      <c r="H14" s="20">
        <v>14</v>
      </c>
      <c r="I14" s="20">
        <v>24</v>
      </c>
      <c r="J14" s="20">
        <v>21</v>
      </c>
      <c r="K14" s="20">
        <v>24</v>
      </c>
      <c r="L14" s="20">
        <v>20</v>
      </c>
      <c r="M14" s="20">
        <v>19</v>
      </c>
      <c r="N14" s="20">
        <v>2</v>
      </c>
    </row>
    <row r="15" s="1" customFormat="1" ht="48" customHeight="1" spans="1:14">
      <c r="A15" s="7"/>
      <c r="B15" s="12"/>
      <c r="C15" s="7" t="s">
        <v>694</v>
      </c>
      <c r="D15" s="7" t="s">
        <v>695</v>
      </c>
      <c r="E15" s="7" t="s">
        <v>695</v>
      </c>
      <c r="F15" s="16">
        <v>1</v>
      </c>
      <c r="G15" s="17"/>
      <c r="H15" s="17"/>
      <c r="I15" s="17"/>
      <c r="J15" s="17"/>
      <c r="K15" s="17"/>
      <c r="L15" s="17"/>
      <c r="M15" s="17"/>
      <c r="N15" s="23"/>
    </row>
    <row r="16" s="1" customFormat="1" ht="51" customHeight="1" spans="1:14">
      <c r="A16" s="7"/>
      <c r="B16" s="12"/>
      <c r="C16" s="7"/>
      <c r="D16" s="7" t="s">
        <v>696</v>
      </c>
      <c r="E16" s="7" t="s">
        <v>696</v>
      </c>
      <c r="F16" s="16">
        <v>1</v>
      </c>
      <c r="G16" s="17"/>
      <c r="H16" s="17"/>
      <c r="I16" s="17"/>
      <c r="J16" s="17"/>
      <c r="K16" s="17"/>
      <c r="L16" s="17"/>
      <c r="M16" s="17"/>
      <c r="N16" s="23"/>
    </row>
    <row r="17" s="1" customFormat="1" ht="37" customHeight="1" spans="1:14">
      <c r="A17" s="7"/>
      <c r="B17" s="13"/>
      <c r="C17" s="7" t="s">
        <v>697</v>
      </c>
      <c r="D17" s="7" t="s">
        <v>698</v>
      </c>
      <c r="E17" s="7" t="s">
        <v>698</v>
      </c>
      <c r="F17" s="16">
        <v>1</v>
      </c>
      <c r="G17" s="17"/>
      <c r="H17" s="17"/>
      <c r="I17" s="17"/>
      <c r="J17" s="17"/>
      <c r="K17" s="17"/>
      <c r="L17" s="17"/>
      <c r="M17" s="17"/>
      <c r="N17" s="23"/>
    </row>
    <row r="18" s="1" customFormat="1" ht="66" customHeight="1" spans="1:14">
      <c r="A18" s="7"/>
      <c r="B18" s="7" t="s">
        <v>699</v>
      </c>
      <c r="C18" s="7" t="s">
        <v>700</v>
      </c>
      <c r="D18" s="7" t="s">
        <v>701</v>
      </c>
      <c r="E18" s="7" t="s">
        <v>701</v>
      </c>
      <c r="F18" s="18" t="s">
        <v>702</v>
      </c>
      <c r="G18" s="19"/>
      <c r="H18" s="19"/>
      <c r="I18" s="19"/>
      <c r="J18" s="19"/>
      <c r="K18" s="19"/>
      <c r="L18" s="19"/>
      <c r="M18" s="19"/>
      <c r="N18" s="24"/>
    </row>
    <row r="19" s="1" customFormat="1" ht="52" customHeight="1" spans="1:14">
      <c r="A19" s="7"/>
      <c r="B19" s="7"/>
      <c r="C19" s="7"/>
      <c r="D19" s="7" t="s">
        <v>703</v>
      </c>
      <c r="E19" s="7" t="s">
        <v>703</v>
      </c>
      <c r="F19" s="18" t="s">
        <v>704</v>
      </c>
      <c r="G19" s="19"/>
      <c r="H19" s="19"/>
      <c r="I19" s="19"/>
      <c r="J19" s="19"/>
      <c r="K19" s="19"/>
      <c r="L19" s="19"/>
      <c r="M19" s="19"/>
      <c r="N19" s="24"/>
    </row>
    <row r="20" s="1" customFormat="1" ht="54" customHeight="1" spans="1:14">
      <c r="A20" s="7"/>
      <c r="B20" s="7"/>
      <c r="C20" s="7"/>
      <c r="D20" s="7" t="s">
        <v>705</v>
      </c>
      <c r="E20" s="7" t="s">
        <v>705</v>
      </c>
      <c r="F20" s="18" t="s">
        <v>706</v>
      </c>
      <c r="G20" s="19"/>
      <c r="H20" s="19"/>
      <c r="I20" s="19"/>
      <c r="J20" s="19"/>
      <c r="K20" s="19"/>
      <c r="L20" s="19"/>
      <c r="M20" s="19"/>
      <c r="N20" s="24"/>
    </row>
    <row r="21" s="1" customFormat="1" ht="42" customHeight="1" spans="1:14">
      <c r="A21" s="7"/>
      <c r="B21" s="7" t="s">
        <v>707</v>
      </c>
      <c r="C21" s="7" t="s">
        <v>708</v>
      </c>
      <c r="D21" s="7" t="s">
        <v>709</v>
      </c>
      <c r="E21" s="7" t="s">
        <v>709</v>
      </c>
      <c r="F21" s="21" t="s">
        <v>692</v>
      </c>
      <c r="G21" s="21" t="s">
        <v>692</v>
      </c>
      <c r="H21" s="21" t="s">
        <v>692</v>
      </c>
      <c r="I21" s="21" t="s">
        <v>692</v>
      </c>
      <c r="J21" s="21" t="s">
        <v>692</v>
      </c>
      <c r="K21" s="21" t="s">
        <v>692</v>
      </c>
      <c r="L21" s="21" t="s">
        <v>692</v>
      </c>
      <c r="M21" s="21" t="s">
        <v>692</v>
      </c>
      <c r="N21" s="21" t="s">
        <v>692</v>
      </c>
    </row>
    <row r="22" s="1" customFormat="1" ht="33" customHeight="1" spans="1:14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</row>
  </sheetData>
  <mergeCells count="33">
    <mergeCell ref="A1:B1"/>
    <mergeCell ref="A2:N2"/>
    <mergeCell ref="A3:C3"/>
    <mergeCell ref="D3:N3"/>
    <mergeCell ref="A4:C4"/>
    <mergeCell ref="D4:E4"/>
    <mergeCell ref="G4:N4"/>
    <mergeCell ref="E5:N5"/>
    <mergeCell ref="E6:N6"/>
    <mergeCell ref="E7:N7"/>
    <mergeCell ref="B8:N8"/>
    <mergeCell ref="F9:N9"/>
    <mergeCell ref="F11:N11"/>
    <mergeCell ref="F12:N12"/>
    <mergeCell ref="F13:N13"/>
    <mergeCell ref="F15:N15"/>
    <mergeCell ref="F16:N16"/>
    <mergeCell ref="F17:N17"/>
    <mergeCell ref="F18:N18"/>
    <mergeCell ref="F19:N19"/>
    <mergeCell ref="F20:N20"/>
    <mergeCell ref="A22:N22"/>
    <mergeCell ref="A9:A21"/>
    <mergeCell ref="B9:B10"/>
    <mergeCell ref="B12:B17"/>
    <mergeCell ref="B18:B20"/>
    <mergeCell ref="C9:C10"/>
    <mergeCell ref="C12:C14"/>
    <mergeCell ref="C15:C16"/>
    <mergeCell ref="C18:C20"/>
    <mergeCell ref="D9:D10"/>
    <mergeCell ref="E9:E10"/>
    <mergeCell ref="A5:C7"/>
  </mergeCells>
  <pageMargins left="0.550694444444444" right="0.590277777777778" top="1" bottom="1" header="0.5" footer="0.5"/>
  <pageSetup paperSize="9" scale="71" orientation="portrait" horizontalDpi="600"/>
  <headerFooter differentOddEven="1">
    <oddFooter>&amp;R&amp;14- &amp;P -</oddFooter>
    <evenFooter>&amp;L&amp;14- &amp;P -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附件1.</vt:lpstr>
      <vt:lpstr>附件2</vt:lpstr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陈锋</cp:lastModifiedBy>
  <dcterms:created xsi:type="dcterms:W3CDTF">2021-12-05T02:27:00Z</dcterms:created>
  <dcterms:modified xsi:type="dcterms:W3CDTF">2024-04-16T11:13:34Z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2052-11.8.2.11625</vt:lpwstr>
  </property>
  <property fmtid="{D5CDD505-2E9C-101B-9397-08002B2CF9AE}" pid="3" name="ICV">
    <vt:lpwstr>4516CD7E1AC54D72A7EBDF20A18197FC_13</vt:lpwstr>
  </property>
  <property fmtid="{D5CDD505-2E9C-101B-9397-08002B2CF9AE}" pid="4" name="KSOReadingLayout">
    <vt:bool>false</vt:bool>
  </property>
</Properties>
</file>